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3820"/>
  <xr:revisionPtr revIDLastSave="0" documentId="13_ncr:1_{185F8113-B30B-400E-97DB-912F0A25C635}" xr6:coauthVersionLast="47" xr6:coauthVersionMax="47" xr10:uidLastSave="{00000000-0000-0000-0000-000000000000}"/>
  <bookViews>
    <workbookView xWindow="-120" yWindow="-120" windowWidth="38640" windowHeight="21120" tabRatio="903" xr2:uid="{00000000-000D-0000-FFFF-FFFF00000000}"/>
  </bookViews>
  <sheets>
    <sheet name="免責事項" sheetId="85" r:id="rId1"/>
    <sheet name="Output" sheetId="27" r:id="rId2"/>
    <sheet name="DCF" sheetId="82" r:id="rId3"/>
    <sheet name="Parameter設定" sheetId="83" r:id="rId4"/>
    <sheet name="財務数値" sheetId="25" r:id="rId5"/>
    <sheet name="WACC" sheetId="84" r:id="rId6"/>
    <sheet name="Multiple Cal" sheetId="29" r:id="rId7"/>
    <sheet name="Transaction Multiples" sheetId="31" r:id="rId8"/>
  </sheets>
  <definedNames>
    <definedName name="_xlnm._FilterDatabase" localSheetId="7" hidden="1">'Transaction Multiples'!$A$2:$H$2</definedName>
    <definedName name="_xlnm.Print_Titles" localSheetId="7">'Transaction Multiples'!#REF!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47" i="25" l="1"/>
  <c r="L13" i="27"/>
  <c r="N13" i="27"/>
  <c r="K13" i="27"/>
  <c r="I13" i="27"/>
  <c r="C7" i="27"/>
  <c r="C8" i="27"/>
  <c r="C9" i="27"/>
  <c r="C11" i="27"/>
  <c r="C12" i="27"/>
  <c r="E33" i="82"/>
  <c r="F33" i="82"/>
  <c r="G33" i="82"/>
  <c r="H33" i="82"/>
  <c r="I33" i="82"/>
  <c r="J33" i="82"/>
  <c r="K33" i="82"/>
  <c r="L33" i="82"/>
  <c r="M33" i="82"/>
  <c r="O33" i="82" s="1"/>
  <c r="D33" i="82"/>
  <c r="J32" i="82"/>
  <c r="K32" i="82"/>
  <c r="E56" i="82"/>
  <c r="E32" i="82" s="1"/>
  <c r="F56" i="82"/>
  <c r="F32" i="82" s="1"/>
  <c r="G56" i="82"/>
  <c r="G32" i="82" s="1"/>
  <c r="H56" i="82"/>
  <c r="H32" i="82" s="1"/>
  <c r="I56" i="82"/>
  <c r="I32" i="82" s="1"/>
  <c r="J56" i="82"/>
  <c r="K56" i="82"/>
  <c r="L56" i="82"/>
  <c r="L32" i="82" s="1"/>
  <c r="M56" i="82"/>
  <c r="M32" i="82" s="1"/>
  <c r="D56" i="82"/>
  <c r="D32" i="82" s="1"/>
  <c r="M55" i="25"/>
  <c r="L55" i="25"/>
  <c r="K55" i="25"/>
  <c r="K57" i="25" s="1"/>
  <c r="J55" i="25"/>
  <c r="I55" i="25"/>
  <c r="I57" i="25" s="1"/>
  <c r="H55" i="25"/>
  <c r="G55" i="25"/>
  <c r="F55" i="25"/>
  <c r="E55" i="25"/>
  <c r="L57" i="25"/>
  <c r="E57" i="25"/>
  <c r="F57" i="25"/>
  <c r="G57" i="25"/>
  <c r="H57" i="25"/>
  <c r="M57" i="25"/>
  <c r="D55" i="25"/>
  <c r="C33" i="82"/>
  <c r="J57" i="25"/>
  <c r="D57" i="25"/>
  <c r="D11" i="29"/>
  <c r="R4" i="29"/>
  <c r="F6" i="29"/>
  <c r="F7" i="29"/>
  <c r="F8" i="29"/>
  <c r="D8" i="29" s="1"/>
  <c r="F9" i="29"/>
  <c r="F10" i="29"/>
  <c r="F11" i="29"/>
  <c r="F5" i="29"/>
  <c r="E6" i="29"/>
  <c r="Y6" i="29" s="1"/>
  <c r="E7" i="29"/>
  <c r="Y7" i="29" s="1"/>
  <c r="E8" i="29"/>
  <c r="Y8" i="29" s="1"/>
  <c r="E9" i="29"/>
  <c r="V9" i="29" s="1"/>
  <c r="E10" i="29"/>
  <c r="V10" i="29" s="1"/>
  <c r="E11" i="29"/>
  <c r="X11" i="29" s="1"/>
  <c r="E5" i="29"/>
  <c r="W5" i="29" s="1"/>
  <c r="C6" i="29"/>
  <c r="C7" i="29"/>
  <c r="C8" i="29"/>
  <c r="C9" i="29"/>
  <c r="C10" i="29"/>
  <c r="C11" i="29"/>
  <c r="C5" i="29"/>
  <c r="B6" i="29"/>
  <c r="B7" i="29"/>
  <c r="B8" i="29"/>
  <c r="B9" i="29"/>
  <c r="B10" i="29"/>
  <c r="B11" i="29"/>
  <c r="B5" i="29"/>
  <c r="D65" i="82"/>
  <c r="H19" i="84"/>
  <c r="H21" i="84"/>
  <c r="W11" i="29" l="1"/>
  <c r="V11" i="29"/>
  <c r="W8" i="29"/>
  <c r="W7" i="29"/>
  <c r="Y5" i="29"/>
  <c r="X8" i="29"/>
  <c r="Y9" i="29"/>
  <c r="V5" i="29"/>
  <c r="V12" i="29" s="1"/>
  <c r="V13" i="29" s="1"/>
  <c r="D5" i="29"/>
  <c r="S5" i="29" s="1"/>
  <c r="X10" i="29"/>
  <c r="V8" i="29"/>
  <c r="Y11" i="29"/>
  <c r="D10" i="29"/>
  <c r="V6" i="29"/>
  <c r="W10" i="29"/>
  <c r="X7" i="29"/>
  <c r="Y10" i="29"/>
  <c r="Y12" i="29" s="1"/>
  <c r="Y13" i="29" s="1"/>
  <c r="D8" i="27" s="1"/>
  <c r="E8" i="27" s="1"/>
  <c r="D9" i="29"/>
  <c r="X5" i="29"/>
  <c r="X12" i="29" s="1"/>
  <c r="X13" i="29" s="1"/>
  <c r="D9" i="27" s="1"/>
  <c r="X9" i="29"/>
  <c r="V7" i="29"/>
  <c r="D7" i="29"/>
  <c r="W9" i="29"/>
  <c r="W12" i="29" s="1"/>
  <c r="W13" i="29" s="1"/>
  <c r="D10" i="27" s="1"/>
  <c r="X6" i="29"/>
  <c r="D6" i="29"/>
  <c r="W6" i="29"/>
  <c r="G87" i="82"/>
  <c r="G73" i="82"/>
  <c r="G81" i="82" s="1"/>
  <c r="G89" i="82" s="1"/>
  <c r="D78" i="82"/>
  <c r="D72" i="25"/>
  <c r="G82" i="25"/>
  <c r="F82" i="25"/>
  <c r="E82" i="25"/>
  <c r="D82" i="25"/>
  <c r="H59" i="82"/>
  <c r="I59" i="82" s="1"/>
  <c r="D39" i="82"/>
  <c r="E55" i="82"/>
  <c r="E39" i="82" s="1"/>
  <c r="O56" i="82"/>
  <c r="D17" i="25"/>
  <c r="E48" i="82"/>
  <c r="F48" i="82"/>
  <c r="G48" i="82"/>
  <c r="D48" i="82"/>
  <c r="E46" i="82"/>
  <c r="F46" i="82"/>
  <c r="G46" i="82"/>
  <c r="D46" i="82"/>
  <c r="B46" i="82"/>
  <c r="C8" i="84"/>
  <c r="H28" i="84" s="1"/>
  <c r="C32" i="82"/>
  <c r="Q26" i="25"/>
  <c r="Q24" i="25"/>
  <c r="Q25" i="25"/>
  <c r="Q27" i="25"/>
  <c r="Q28" i="25"/>
  <c r="Q29" i="25"/>
  <c r="Q30" i="25"/>
  <c r="Q31" i="25"/>
  <c r="Q32" i="25"/>
  <c r="Q33" i="25"/>
  <c r="Q34" i="25"/>
  <c r="Q35" i="25"/>
  <c r="Q36" i="25"/>
  <c r="Q37" i="25"/>
  <c r="Q38" i="25"/>
  <c r="Q39" i="25"/>
  <c r="Q23" i="25"/>
  <c r="C37" i="83"/>
  <c r="C38" i="83"/>
  <c r="C39" i="83"/>
  <c r="C40" i="83"/>
  <c r="C41" i="83"/>
  <c r="C42" i="83"/>
  <c r="C43" i="83"/>
  <c r="C44" i="83"/>
  <c r="C45" i="83"/>
  <c r="C46" i="83"/>
  <c r="C47" i="83"/>
  <c r="C48" i="83"/>
  <c r="C49" i="83"/>
  <c r="C50" i="83"/>
  <c r="C51" i="83"/>
  <c r="C52" i="83"/>
  <c r="C36" i="83"/>
  <c r="C30" i="82"/>
  <c r="B35" i="83" s="1"/>
  <c r="C29" i="82"/>
  <c r="B34" i="83" s="1"/>
  <c r="B33" i="83"/>
  <c r="B31" i="83"/>
  <c r="B32" i="83"/>
  <c r="B27" i="83"/>
  <c r="B28" i="83"/>
  <c r="B29" i="83"/>
  <c r="B30" i="83"/>
  <c r="B26" i="83"/>
  <c r="B25" i="83"/>
  <c r="D21" i="83"/>
  <c r="E21" i="83" s="1"/>
  <c r="F21" i="83" s="1"/>
  <c r="G21" i="83" s="1"/>
  <c r="H21" i="83" s="1"/>
  <c r="I21" i="83" s="1"/>
  <c r="D22" i="83"/>
  <c r="E22" i="83" s="1"/>
  <c r="F22" i="83" s="1"/>
  <c r="G22" i="83" s="1"/>
  <c r="H22" i="83" s="1"/>
  <c r="I22" i="83" s="1"/>
  <c r="C22" i="83"/>
  <c r="C21" i="83"/>
  <c r="C20" i="83"/>
  <c r="D17" i="83"/>
  <c r="E17" i="83" s="1"/>
  <c r="F17" i="83" s="1"/>
  <c r="G17" i="83" s="1"/>
  <c r="H17" i="83" s="1"/>
  <c r="I17" i="83" s="1"/>
  <c r="K16" i="83"/>
  <c r="D16" i="83" s="1"/>
  <c r="E16" i="83" s="1"/>
  <c r="F16" i="83" s="1"/>
  <c r="G16" i="83" s="1"/>
  <c r="H16" i="83" s="1"/>
  <c r="I16" i="83" s="1"/>
  <c r="I29" i="83" s="1" a="1"/>
  <c r="I29" i="83" s="1"/>
  <c r="M15" i="82" s="1"/>
  <c r="O15" i="82" s="1"/>
  <c r="D18" i="83"/>
  <c r="E18" i="83" s="1"/>
  <c r="F18" i="83" s="1"/>
  <c r="G18" i="83" s="1"/>
  <c r="H18" i="83" s="1"/>
  <c r="I18" i="83" s="1"/>
  <c r="C18" i="83"/>
  <c r="C17" i="83"/>
  <c r="C16" i="83"/>
  <c r="C14" i="83"/>
  <c r="C26" i="83" s="1" a="1"/>
  <c r="C26" i="83" s="1"/>
  <c r="C13" i="83"/>
  <c r="C12" i="83"/>
  <c r="C35" i="83" s="1" a="1"/>
  <c r="C35" i="83" s="1"/>
  <c r="D13" i="83"/>
  <c r="E13" i="83" s="1"/>
  <c r="F13" i="83" s="1"/>
  <c r="G13" i="83" s="1"/>
  <c r="H13" i="83" s="1"/>
  <c r="I13" i="83" s="1"/>
  <c r="D14" i="83"/>
  <c r="E14" i="83" s="1"/>
  <c r="F14" i="83" s="1"/>
  <c r="G14" i="83" s="1"/>
  <c r="H14" i="83" s="1"/>
  <c r="I14" i="83" s="1"/>
  <c r="D12" i="83"/>
  <c r="E12" i="83" s="1"/>
  <c r="F12" i="83" s="1"/>
  <c r="G12" i="83" s="1"/>
  <c r="H12" i="83" s="1"/>
  <c r="I12" i="83" s="1"/>
  <c r="E9" i="83"/>
  <c r="F9" i="83" s="1"/>
  <c r="G9" i="83" s="1"/>
  <c r="H9" i="83" s="1"/>
  <c r="I9" i="83" s="1"/>
  <c r="B15" i="83"/>
  <c r="B19" i="83"/>
  <c r="B11" i="83"/>
  <c r="B10" i="83"/>
  <c r="C16" i="82"/>
  <c r="C12" i="82"/>
  <c r="G19" i="82"/>
  <c r="F19" i="82"/>
  <c r="E19" i="82"/>
  <c r="D19" i="82"/>
  <c r="C19" i="82"/>
  <c r="G18" i="82"/>
  <c r="F18" i="82"/>
  <c r="E18" i="82"/>
  <c r="D18" i="82"/>
  <c r="C18" i="82"/>
  <c r="G15" i="82"/>
  <c r="F15" i="82"/>
  <c r="E15" i="82"/>
  <c r="D15" i="82"/>
  <c r="C15" i="82"/>
  <c r="G14" i="82"/>
  <c r="F14" i="82"/>
  <c r="E14" i="82"/>
  <c r="D14" i="82"/>
  <c r="C14" i="82"/>
  <c r="E10" i="82"/>
  <c r="F10" i="82"/>
  <c r="G10" i="82"/>
  <c r="E11" i="82"/>
  <c r="F11" i="82"/>
  <c r="G11" i="82"/>
  <c r="D11" i="82"/>
  <c r="D10" i="82"/>
  <c r="C11" i="82"/>
  <c r="C10" i="82"/>
  <c r="C8" i="82"/>
  <c r="D5" i="82"/>
  <c r="E5" i="82"/>
  <c r="F5" i="82"/>
  <c r="G5" i="82"/>
  <c r="D6" i="82"/>
  <c r="E6" i="82"/>
  <c r="F6" i="82"/>
  <c r="G6" i="82"/>
  <c r="E4" i="82"/>
  <c r="F4" i="82"/>
  <c r="G4" i="82"/>
  <c r="D4" i="82"/>
  <c r="C5" i="82"/>
  <c r="C6" i="82"/>
  <c r="C4" i="82"/>
  <c r="F47" i="25"/>
  <c r="I47" i="25"/>
  <c r="J47" i="25"/>
  <c r="K47" i="25"/>
  <c r="L47" i="25"/>
  <c r="M47" i="25"/>
  <c r="D47" i="25"/>
  <c r="E47" i="25"/>
  <c r="T23" i="84"/>
  <c r="T22" i="84"/>
  <c r="R16" i="84"/>
  <c r="R17" i="84"/>
  <c r="R18" i="84"/>
  <c r="R19" i="84"/>
  <c r="U19" i="84" s="1"/>
  <c r="R20" i="84"/>
  <c r="U20" i="84" s="1"/>
  <c r="R21" i="84"/>
  <c r="U5" i="29" l="1"/>
  <c r="T5" i="29"/>
  <c r="K8" i="27"/>
  <c r="I8" i="27"/>
  <c r="J8" i="27"/>
  <c r="E9" i="27"/>
  <c r="K9" i="27"/>
  <c r="I9" i="27"/>
  <c r="G30" i="82"/>
  <c r="E30" i="82"/>
  <c r="D30" i="82"/>
  <c r="F55" i="82"/>
  <c r="D38" i="82"/>
  <c r="F30" i="82"/>
  <c r="G29" i="82"/>
  <c r="C31" i="83" a="1"/>
  <c r="C31" i="83" s="1"/>
  <c r="C29" i="83" a="1"/>
  <c r="C29" i="83" s="1"/>
  <c r="C34" i="83" a="1"/>
  <c r="C34" i="83" s="1"/>
  <c r="D29" i="82"/>
  <c r="I25" i="83" a="1"/>
  <c r="I25" i="83" s="1"/>
  <c r="M10" i="82" s="1"/>
  <c r="O10" i="82" s="1"/>
  <c r="I15" i="83" a="1"/>
  <c r="I15" i="83" s="1"/>
  <c r="M5" i="82" s="1"/>
  <c r="O5" i="82" s="1"/>
  <c r="F29" i="82"/>
  <c r="E29" i="82"/>
  <c r="I11" i="83" a="1"/>
  <c r="I11" i="83" s="1"/>
  <c r="M4" i="82" s="1"/>
  <c r="F26" i="83" a="1"/>
  <c r="F26" i="83" s="1"/>
  <c r="C15" i="83" a="1"/>
  <c r="C15" i="83" s="1"/>
  <c r="E15" i="83" a="1"/>
  <c r="E15" i="83" s="1"/>
  <c r="I5" i="82" s="1"/>
  <c r="D28" i="83" a="1"/>
  <c r="D28" i="83" s="1"/>
  <c r="H14" i="82" s="1"/>
  <c r="G29" i="83" a="1"/>
  <c r="G29" i="83" s="1"/>
  <c r="K15" i="82" s="1"/>
  <c r="F15" i="83" a="1"/>
  <c r="F15" i="83" s="1"/>
  <c r="J5" i="82" s="1"/>
  <c r="I28" i="83" a="1"/>
  <c r="I28" i="83" s="1"/>
  <c r="M14" i="82" s="1"/>
  <c r="O14" i="82" s="1"/>
  <c r="O12" i="82" s="1"/>
  <c r="H15" i="83" a="1"/>
  <c r="H15" i="83" s="1"/>
  <c r="L5" i="82" s="1"/>
  <c r="E25" i="83" a="1"/>
  <c r="E25" i="83" s="1"/>
  <c r="I10" i="82" s="1"/>
  <c r="H28" i="83" a="1"/>
  <c r="H28" i="83" s="1"/>
  <c r="L14" i="82" s="1"/>
  <c r="F25" i="83" a="1"/>
  <c r="F25" i="83" s="1"/>
  <c r="J10" i="82" s="1"/>
  <c r="F28" i="83" a="1"/>
  <c r="F28" i="83" s="1"/>
  <c r="J14" i="82" s="1"/>
  <c r="C11" i="83" a="1"/>
  <c r="C11" i="83" s="1"/>
  <c r="G25" i="83" a="1"/>
  <c r="G25" i="83" s="1"/>
  <c r="K10" i="82" s="1"/>
  <c r="D15" i="83" a="1"/>
  <c r="D15" i="83" s="1"/>
  <c r="H5" i="82" s="1"/>
  <c r="E28" i="83" a="1"/>
  <c r="E28" i="83" s="1"/>
  <c r="I14" i="82" s="1"/>
  <c r="H25" i="83" a="1"/>
  <c r="H25" i="83" s="1"/>
  <c r="L10" i="82" s="1"/>
  <c r="G26" i="83" a="1"/>
  <c r="G26" i="83" s="1"/>
  <c r="F29" i="83" a="1"/>
  <c r="F29" i="83" s="1"/>
  <c r="J15" i="82" s="1"/>
  <c r="E26" i="83" a="1"/>
  <c r="E26" i="83" s="1"/>
  <c r="C25" i="83" a="1"/>
  <c r="C25" i="83" s="1"/>
  <c r="G15" i="83" a="1"/>
  <c r="G15" i="83" s="1"/>
  <c r="K5" i="82" s="1"/>
  <c r="D25" i="83" a="1"/>
  <c r="D25" i="83" s="1"/>
  <c r="H10" i="82" s="1"/>
  <c r="G28" i="83" a="1"/>
  <c r="G28" i="83" s="1"/>
  <c r="K14" i="82" s="1"/>
  <c r="C32" i="83" a="1"/>
  <c r="C32" i="83" s="1"/>
  <c r="C28" i="83" a="1"/>
  <c r="C28" i="83" s="1"/>
  <c r="E29" i="83" a="1"/>
  <c r="E29" i="83" s="1"/>
  <c r="I15" i="82" s="1"/>
  <c r="D26" i="83" a="1"/>
  <c r="D26" i="83" s="1"/>
  <c r="I26" i="83" a="1"/>
  <c r="I26" i="83" s="1"/>
  <c r="D29" i="83" a="1"/>
  <c r="D29" i="83" s="1"/>
  <c r="H15" i="82" s="1"/>
  <c r="C19" i="83" a="1"/>
  <c r="C19" i="83" s="1"/>
  <c r="H26" i="83" a="1"/>
  <c r="H26" i="83" s="1"/>
  <c r="H29" i="83" a="1"/>
  <c r="H29" i="83" s="1"/>
  <c r="L15" i="82" s="1"/>
  <c r="H11" i="83" a="1"/>
  <c r="H11" i="83" s="1"/>
  <c r="L4" i="82" s="1"/>
  <c r="G11" i="83" a="1"/>
  <c r="G11" i="83" s="1"/>
  <c r="K4" i="82" s="1"/>
  <c r="F11" i="83" a="1"/>
  <c r="F11" i="83" s="1"/>
  <c r="J4" i="82" s="1"/>
  <c r="E11" i="83" a="1"/>
  <c r="E11" i="83" s="1"/>
  <c r="I4" i="82" s="1"/>
  <c r="D11" i="83" a="1"/>
  <c r="D11" i="83" s="1"/>
  <c r="H4" i="82" s="1"/>
  <c r="K20" i="83"/>
  <c r="D20" i="83" s="1"/>
  <c r="D19" i="83" s="1" a="1"/>
  <c r="D19" i="83" s="1"/>
  <c r="H6" i="82" s="1"/>
  <c r="D8" i="82"/>
  <c r="D22" i="82" s="1"/>
  <c r="G8" i="82"/>
  <c r="G7" i="82" s="1"/>
  <c r="G49" i="82" s="1"/>
  <c r="E16" i="82"/>
  <c r="E26" i="82" s="1"/>
  <c r="F16" i="82"/>
  <c r="F26" i="82" s="1"/>
  <c r="D16" i="82"/>
  <c r="D26" i="82" s="1"/>
  <c r="F8" i="82"/>
  <c r="F22" i="82" s="1"/>
  <c r="D12" i="82"/>
  <c r="D24" i="82" s="1"/>
  <c r="G16" i="82"/>
  <c r="E8" i="82"/>
  <c r="E22" i="82" s="1"/>
  <c r="F12" i="82"/>
  <c r="F24" i="82" s="1"/>
  <c r="G12" i="82"/>
  <c r="G24" i="82" s="1"/>
  <c r="E12" i="82"/>
  <c r="E24" i="82" s="1"/>
  <c r="G3" i="82"/>
  <c r="D3" i="82"/>
  <c r="F3" i="82"/>
  <c r="F47" i="82" s="1"/>
  <c r="E3" i="82"/>
  <c r="E47" i="82" s="1"/>
  <c r="C6" i="84"/>
  <c r="H24" i="84" s="1"/>
  <c r="G76" i="25"/>
  <c r="F76" i="25"/>
  <c r="E76" i="25"/>
  <c r="D76" i="25"/>
  <c r="E72" i="25"/>
  <c r="F72" i="25"/>
  <c r="G72" i="25"/>
  <c r="F66" i="25"/>
  <c r="F65" i="25" s="1"/>
  <c r="E66" i="25"/>
  <c r="E65" i="25" s="1"/>
  <c r="D66" i="25"/>
  <c r="D65" i="25" s="1"/>
  <c r="E59" i="25"/>
  <c r="F59" i="25" s="1"/>
  <c r="C59" i="25"/>
  <c r="D60" i="25"/>
  <c r="E60" i="25"/>
  <c r="F60" i="25"/>
  <c r="E22" i="25"/>
  <c r="F22" i="25"/>
  <c r="G22" i="25"/>
  <c r="H22" i="25"/>
  <c r="I22" i="25"/>
  <c r="J22" i="25"/>
  <c r="K22" i="25"/>
  <c r="L22" i="25"/>
  <c r="M22" i="25"/>
  <c r="D22" i="25"/>
  <c r="K45" i="25"/>
  <c r="F42" i="25"/>
  <c r="E42" i="25"/>
  <c r="G42" i="25"/>
  <c r="H42" i="25"/>
  <c r="I42" i="25"/>
  <c r="J42" i="25"/>
  <c r="K42" i="25"/>
  <c r="L42" i="25"/>
  <c r="M42" i="25"/>
  <c r="D42" i="25"/>
  <c r="L14" i="25"/>
  <c r="L21" i="25" s="1"/>
  <c r="I14" i="25"/>
  <c r="I21" i="25" s="1"/>
  <c r="F14" i="25"/>
  <c r="F21" i="25" s="1"/>
  <c r="K14" i="25"/>
  <c r="K21" i="25" s="1"/>
  <c r="H14" i="25"/>
  <c r="H21" i="25" s="1"/>
  <c r="M14" i="25"/>
  <c r="M21" i="25" s="1"/>
  <c r="G14" i="25"/>
  <c r="G21" i="25" s="1"/>
  <c r="E14" i="25"/>
  <c r="E21" i="25" s="1"/>
  <c r="D14" i="25"/>
  <c r="D21" i="25" s="1"/>
  <c r="M11" i="25"/>
  <c r="M20" i="25" s="1"/>
  <c r="L11" i="25"/>
  <c r="L20" i="25" s="1"/>
  <c r="K11" i="25"/>
  <c r="K20" i="25" s="1"/>
  <c r="J11" i="25"/>
  <c r="J20" i="25" s="1"/>
  <c r="I11" i="25"/>
  <c r="I20" i="25" s="1"/>
  <c r="H11" i="25"/>
  <c r="H20" i="25" s="1"/>
  <c r="G11" i="25"/>
  <c r="G20" i="25" s="1"/>
  <c r="F11" i="25"/>
  <c r="F20" i="25" s="1"/>
  <c r="E11" i="25"/>
  <c r="E20" i="25" s="1"/>
  <c r="D11" i="25"/>
  <c r="D20" i="25" s="1"/>
  <c r="M8" i="25"/>
  <c r="L8" i="25"/>
  <c r="K8" i="25"/>
  <c r="G8" i="25"/>
  <c r="F8" i="25"/>
  <c r="E8" i="25"/>
  <c r="D8" i="25"/>
  <c r="E3" i="25"/>
  <c r="E45" i="25" s="1"/>
  <c r="F3" i="25"/>
  <c r="F45" i="25" s="1"/>
  <c r="G3" i="25"/>
  <c r="H3" i="25"/>
  <c r="H45" i="25" s="1"/>
  <c r="I3" i="25"/>
  <c r="I45" i="25" s="1"/>
  <c r="J3" i="25"/>
  <c r="J45" i="25" s="1"/>
  <c r="K3" i="25"/>
  <c r="L3" i="25"/>
  <c r="L45" i="25" s="1"/>
  <c r="M3" i="25"/>
  <c r="M45" i="25" s="1"/>
  <c r="D3" i="25"/>
  <c r="D45" i="25" s="1"/>
  <c r="J8" i="25"/>
  <c r="I8" i="25"/>
  <c r="H8" i="25"/>
  <c r="D31" i="83" l="1" a="1"/>
  <c r="D31" i="83" s="1"/>
  <c r="H18" i="82" s="1"/>
  <c r="J9" i="27"/>
  <c r="G45" i="25"/>
  <c r="G55" i="82"/>
  <c r="F39" i="82"/>
  <c r="D79" i="25"/>
  <c r="D83" i="25" s="1"/>
  <c r="G47" i="82"/>
  <c r="H47" i="82" s="1"/>
  <c r="I47" i="82" s="1"/>
  <c r="K12" i="82"/>
  <c r="K24" i="82" s="1"/>
  <c r="O24" i="82"/>
  <c r="D27" i="82"/>
  <c r="F27" i="82"/>
  <c r="D7" i="82"/>
  <c r="G26" i="82"/>
  <c r="G22" i="82"/>
  <c r="G23" i="82" s="1"/>
  <c r="M11" i="82"/>
  <c r="O11" i="82" s="1"/>
  <c r="O8" i="82" s="1"/>
  <c r="O7" i="82" s="1"/>
  <c r="I35" i="83"/>
  <c r="M30" i="82" s="1"/>
  <c r="O30" i="82" s="1"/>
  <c r="H11" i="82"/>
  <c r="H8" i="82" s="1"/>
  <c r="H7" i="82" s="1"/>
  <c r="D35" i="83"/>
  <c r="K11" i="82"/>
  <c r="K8" i="82" s="1"/>
  <c r="K7" i="82" s="1"/>
  <c r="G35" i="83"/>
  <c r="K30" i="82" s="1"/>
  <c r="L11" i="82"/>
  <c r="L8" i="82" s="1"/>
  <c r="L7" i="82" s="1"/>
  <c r="H35" i="83"/>
  <c r="L30" i="82" s="1"/>
  <c r="J11" i="82"/>
  <c r="J8" i="82" s="1"/>
  <c r="J22" i="82" s="1"/>
  <c r="F35" i="83"/>
  <c r="J30" i="82" s="1"/>
  <c r="I11" i="82"/>
  <c r="I8" i="82" s="1"/>
  <c r="I7" i="82" s="1"/>
  <c r="E35" i="83"/>
  <c r="I30" i="82" s="1"/>
  <c r="J12" i="82"/>
  <c r="J24" i="82" s="1"/>
  <c r="H12" i="82"/>
  <c r="H24" i="82" s="1"/>
  <c r="M12" i="82"/>
  <c r="M24" i="82" s="1"/>
  <c r="I12" i="82"/>
  <c r="I24" i="82" s="1"/>
  <c r="L12" i="82"/>
  <c r="L24" i="82" s="1"/>
  <c r="H3" i="82"/>
  <c r="D10" i="83" s="1"/>
  <c r="D34" i="83" s="1"/>
  <c r="H29" i="82" s="1"/>
  <c r="E20" i="83"/>
  <c r="D32" i="83" a="1"/>
  <c r="D32" i="83" s="1"/>
  <c r="H19" i="82" s="1"/>
  <c r="H16" i="82" s="1"/>
  <c r="H26" i="82" s="1"/>
  <c r="D25" i="82"/>
  <c r="G25" i="82"/>
  <c r="E23" i="82"/>
  <c r="E27" i="82"/>
  <c r="E25" i="82"/>
  <c r="F25" i="82"/>
  <c r="F23" i="82"/>
  <c r="D23" i="82"/>
  <c r="E7" i="82"/>
  <c r="E49" i="82" s="1"/>
  <c r="F7" i="82"/>
  <c r="F49" i="82" s="1"/>
  <c r="D17" i="82"/>
  <c r="E71" i="25"/>
  <c r="D13" i="82"/>
  <c r="G13" i="82"/>
  <c r="G17" i="82"/>
  <c r="E13" i="82"/>
  <c r="E17" i="82"/>
  <c r="F13" i="82"/>
  <c r="F17" i="82"/>
  <c r="E9" i="82"/>
  <c r="F9" i="82"/>
  <c r="G9" i="82"/>
  <c r="D71" i="25"/>
  <c r="J19" i="25"/>
  <c r="M19" i="25"/>
  <c r="M18" i="25" s="1"/>
  <c r="E19" i="25"/>
  <c r="E18" i="25" s="1"/>
  <c r="K19" i="25"/>
  <c r="K18" i="25" s="1"/>
  <c r="L19" i="25"/>
  <c r="L18" i="25" s="1"/>
  <c r="D19" i="25"/>
  <c r="D18" i="25" s="1"/>
  <c r="F19" i="25"/>
  <c r="F18" i="25" s="1"/>
  <c r="I19" i="25"/>
  <c r="I18" i="25" s="1"/>
  <c r="H19" i="25"/>
  <c r="H18" i="25" s="1"/>
  <c r="F71" i="25"/>
  <c r="H59" i="25"/>
  <c r="I59" i="25" s="1"/>
  <c r="J59" i="25" s="1"/>
  <c r="K59" i="25" s="1"/>
  <c r="L59" i="25" s="1"/>
  <c r="M59" i="25" s="1"/>
  <c r="G59" i="25"/>
  <c r="G7" i="25"/>
  <c r="G19" i="25"/>
  <c r="G18" i="25" s="1"/>
  <c r="D7" i="25"/>
  <c r="I7" i="25"/>
  <c r="J14" i="25"/>
  <c r="K7" i="25"/>
  <c r="E7" i="25"/>
  <c r="H7" i="25"/>
  <c r="F7" i="25"/>
  <c r="L7" i="25"/>
  <c r="M7" i="25"/>
  <c r="D84" i="25" l="1"/>
  <c r="H55" i="82"/>
  <c r="G39" i="82"/>
  <c r="H49" i="82"/>
  <c r="I49" i="82" s="1"/>
  <c r="J49" i="82" s="1"/>
  <c r="K49" i="82" s="1"/>
  <c r="L49" i="82" s="1"/>
  <c r="M49" i="82" s="1"/>
  <c r="H46" i="82"/>
  <c r="J47" i="82"/>
  <c r="D37" i="83"/>
  <c r="H30" i="82"/>
  <c r="E19" i="83" a="1"/>
  <c r="E19" i="83" s="1"/>
  <c r="I6" i="82" s="1"/>
  <c r="I3" i="82" s="1"/>
  <c r="E10" i="83" s="1"/>
  <c r="E34" i="83" s="1"/>
  <c r="I29" i="82" s="1"/>
  <c r="E31" i="83" a="1"/>
  <c r="E31" i="83" s="1"/>
  <c r="I18" i="82" s="1"/>
  <c r="G39" i="83"/>
  <c r="G37" i="83"/>
  <c r="G42" i="83"/>
  <c r="G48" i="83"/>
  <c r="G52" i="83"/>
  <c r="G40" i="83"/>
  <c r="G47" i="83"/>
  <c r="G51" i="83"/>
  <c r="G46" i="83"/>
  <c r="G50" i="83"/>
  <c r="G36" i="83"/>
  <c r="G44" i="83"/>
  <c r="G49" i="83"/>
  <c r="D36" i="83"/>
  <c r="D46" i="83"/>
  <c r="D50" i="83"/>
  <c r="D44" i="83"/>
  <c r="D49" i="83"/>
  <c r="D42" i="83"/>
  <c r="D48" i="83"/>
  <c r="D52" i="83"/>
  <c r="D40" i="83"/>
  <c r="D47" i="83"/>
  <c r="D51" i="83"/>
  <c r="F40" i="83"/>
  <c r="F47" i="83"/>
  <c r="F51" i="83"/>
  <c r="F46" i="83"/>
  <c r="F50" i="83"/>
  <c r="F36" i="83"/>
  <c r="F44" i="83"/>
  <c r="F49" i="83"/>
  <c r="F42" i="83"/>
  <c r="F48" i="83"/>
  <c r="F52" i="83"/>
  <c r="I44" i="83"/>
  <c r="I49" i="83"/>
  <c r="I42" i="83"/>
  <c r="O32" i="82" s="1"/>
  <c r="O38" i="82" s="1"/>
  <c r="I48" i="83"/>
  <c r="I52" i="83"/>
  <c r="I40" i="83"/>
  <c r="I47" i="83"/>
  <c r="I51" i="83"/>
  <c r="I46" i="83"/>
  <c r="I50" i="83"/>
  <c r="I36" i="83"/>
  <c r="H42" i="83"/>
  <c r="H48" i="83"/>
  <c r="H52" i="83"/>
  <c r="H40" i="83"/>
  <c r="H47" i="83"/>
  <c r="H51" i="83"/>
  <c r="H46" i="83"/>
  <c r="H50" i="83"/>
  <c r="H36" i="83"/>
  <c r="H44" i="83"/>
  <c r="H49" i="83"/>
  <c r="E39" i="83"/>
  <c r="E37" i="83"/>
  <c r="E40" i="83"/>
  <c r="E47" i="83"/>
  <c r="E51" i="83"/>
  <c r="E46" i="83"/>
  <c r="E50" i="83"/>
  <c r="E36" i="83"/>
  <c r="E44" i="83"/>
  <c r="E49" i="83"/>
  <c r="E42" i="83"/>
  <c r="E48" i="83"/>
  <c r="E52" i="83"/>
  <c r="E20" i="82"/>
  <c r="D20" i="82"/>
  <c r="D41" i="83"/>
  <c r="D45" i="83"/>
  <c r="D43" i="83"/>
  <c r="D38" i="83"/>
  <c r="M8" i="82"/>
  <c r="M7" i="82" s="1"/>
  <c r="I22" i="82"/>
  <c r="J7" i="82"/>
  <c r="H17" i="82"/>
  <c r="H13" i="82"/>
  <c r="H25" i="82"/>
  <c r="H27" i="82"/>
  <c r="H9" i="82"/>
  <c r="H22" i="82"/>
  <c r="H23" i="82" s="1"/>
  <c r="F20" i="83"/>
  <c r="E32" i="83" a="1"/>
  <c r="E32" i="83" s="1"/>
  <c r="I19" i="82" s="1"/>
  <c r="F20" i="82"/>
  <c r="G20" i="82"/>
  <c r="G27" i="82"/>
  <c r="D40" i="25"/>
  <c r="E40" i="25"/>
  <c r="F40" i="25"/>
  <c r="G40" i="25"/>
  <c r="J7" i="25"/>
  <c r="J21" i="25"/>
  <c r="J18" i="25" s="1"/>
  <c r="H22" i="84"/>
  <c r="I19" i="84"/>
  <c r="R15" i="84"/>
  <c r="B4" i="84"/>
  <c r="D58" i="82"/>
  <c r="B58" i="82"/>
  <c r="D73" i="82"/>
  <c r="G65" i="82"/>
  <c r="I63" i="82"/>
  <c r="G71" i="82"/>
  <c r="G63" i="82"/>
  <c r="I71" i="82"/>
  <c r="I79" i="82" s="1"/>
  <c r="I87" i="82" s="1"/>
  <c r="D77" i="82"/>
  <c r="D40" i="82"/>
  <c r="B44" i="82"/>
  <c r="E44" i="82"/>
  <c r="E50" i="82" s="1"/>
  <c r="F44" i="82"/>
  <c r="F50" i="82" s="1"/>
  <c r="G44" i="82"/>
  <c r="G50" i="82" s="1"/>
  <c r="D44" i="82"/>
  <c r="F13" i="27" l="1"/>
  <c r="F12" i="27"/>
  <c r="F7" i="27"/>
  <c r="F11" i="27"/>
  <c r="F8" i="27"/>
  <c r="F9" i="27"/>
  <c r="F10" i="27"/>
  <c r="M48" i="82"/>
  <c r="J48" i="82"/>
  <c r="I48" i="82"/>
  <c r="L48" i="82"/>
  <c r="I55" i="82"/>
  <c r="H39" i="82"/>
  <c r="K48" i="82"/>
  <c r="H48" i="82"/>
  <c r="E45" i="82"/>
  <c r="D50" i="82"/>
  <c r="I46" i="82"/>
  <c r="F45" i="82"/>
  <c r="G45" i="82"/>
  <c r="K47" i="82"/>
  <c r="G21" i="82"/>
  <c r="F21" i="82"/>
  <c r="D21" i="82"/>
  <c r="E21" i="82"/>
  <c r="I23" i="82"/>
  <c r="I13" i="82"/>
  <c r="I9" i="82"/>
  <c r="I25" i="82"/>
  <c r="I16" i="82"/>
  <c r="I26" i="82" s="1"/>
  <c r="I27" i="82" s="1"/>
  <c r="F31" i="83" a="1"/>
  <c r="F31" i="83" s="1"/>
  <c r="J18" i="82" s="1"/>
  <c r="F19" i="83" a="1"/>
  <c r="F19" i="83" s="1"/>
  <c r="J6" i="82" s="1"/>
  <c r="J3" i="82" s="1"/>
  <c r="J25" i="82" s="1"/>
  <c r="I37" i="83"/>
  <c r="I39" i="83"/>
  <c r="H39" i="83"/>
  <c r="H37" i="83"/>
  <c r="D39" i="83"/>
  <c r="F39" i="83"/>
  <c r="F37" i="83"/>
  <c r="E41" i="83"/>
  <c r="E45" i="83"/>
  <c r="E38" i="83"/>
  <c r="E43" i="83"/>
  <c r="H20" i="82"/>
  <c r="K22" i="82"/>
  <c r="G20" i="83"/>
  <c r="F32" i="83" a="1"/>
  <c r="F32" i="83" s="1"/>
  <c r="J19" i="82" s="1"/>
  <c r="R23" i="84"/>
  <c r="R22" i="84"/>
  <c r="U15" i="84"/>
  <c r="G49" i="25"/>
  <c r="G52" i="25" s="1"/>
  <c r="F49" i="25"/>
  <c r="F52" i="25" s="1"/>
  <c r="E49" i="25"/>
  <c r="E52" i="25" s="1"/>
  <c r="D49" i="25"/>
  <c r="D52" i="25" s="1"/>
  <c r="G41" i="25"/>
  <c r="F41" i="25"/>
  <c r="E41" i="25"/>
  <c r="D41" i="25"/>
  <c r="H40" i="25"/>
  <c r="U18" i="84"/>
  <c r="U16" i="84"/>
  <c r="U21" i="84"/>
  <c r="U17" i="84"/>
  <c r="J59" i="82"/>
  <c r="H26" i="84" l="1"/>
  <c r="C7" i="84"/>
  <c r="N8" i="27"/>
  <c r="L8" i="27"/>
  <c r="G8" i="27"/>
  <c r="M8" i="27" s="1"/>
  <c r="N9" i="27"/>
  <c r="L9" i="27"/>
  <c r="G9" i="27"/>
  <c r="M9" i="27" s="1"/>
  <c r="J55" i="82"/>
  <c r="I39" i="82"/>
  <c r="H45" i="82"/>
  <c r="H44" i="82" s="1"/>
  <c r="J46" i="82"/>
  <c r="L47" i="82"/>
  <c r="J16" i="82"/>
  <c r="J17" i="82" s="1"/>
  <c r="H21" i="82"/>
  <c r="I20" i="82"/>
  <c r="I17" i="82"/>
  <c r="G31" i="83" a="1"/>
  <c r="G31" i="83" s="1"/>
  <c r="K18" i="82" s="1"/>
  <c r="G19" i="83" a="1"/>
  <c r="G19" i="83" s="1"/>
  <c r="K6" i="82" s="1"/>
  <c r="K3" i="82" s="1"/>
  <c r="G10" i="83" s="1"/>
  <c r="G34" i="83" s="1"/>
  <c r="K29" i="82" s="1"/>
  <c r="J9" i="82"/>
  <c r="F10" i="83"/>
  <c r="F34" i="83" s="1"/>
  <c r="J29" i="82" s="1"/>
  <c r="J13" i="82"/>
  <c r="J23" i="82"/>
  <c r="L22" i="82"/>
  <c r="H20" i="83"/>
  <c r="G32" i="83" a="1"/>
  <c r="G32" i="83" s="1"/>
  <c r="K19" i="82" s="1"/>
  <c r="U22" i="84"/>
  <c r="U23" i="84"/>
  <c r="C4" i="84" s="1"/>
  <c r="H49" i="25"/>
  <c r="H52" i="25" s="1"/>
  <c r="G53" i="25"/>
  <c r="G54" i="25" s="1"/>
  <c r="C10" i="27" s="1"/>
  <c r="N10" i="27" s="1"/>
  <c r="H41" i="25"/>
  <c r="D53" i="25"/>
  <c r="D54" i="25" s="1"/>
  <c r="E53" i="25"/>
  <c r="E54" i="25" s="1"/>
  <c r="F53" i="25"/>
  <c r="F54" i="25" s="1"/>
  <c r="I40" i="25"/>
  <c r="G51" i="82"/>
  <c r="E51" i="82"/>
  <c r="K59" i="82"/>
  <c r="F51" i="82"/>
  <c r="L10" i="27" l="1"/>
  <c r="I10" i="27"/>
  <c r="E10" i="27"/>
  <c r="J10" i="27" s="1"/>
  <c r="K10" i="27"/>
  <c r="H20" i="84"/>
  <c r="H16" i="84" s="1"/>
  <c r="H30" i="84" s="1"/>
  <c r="I45" i="82"/>
  <c r="I44" i="82" s="1"/>
  <c r="K55" i="82"/>
  <c r="J39" i="82"/>
  <c r="K46" i="82"/>
  <c r="M47" i="82"/>
  <c r="J26" i="82"/>
  <c r="J27" i="82" s="1"/>
  <c r="I21" i="82"/>
  <c r="K9" i="82"/>
  <c r="G41" i="83"/>
  <c r="K16" i="82"/>
  <c r="K26" i="82" s="1"/>
  <c r="K27" i="82" s="1"/>
  <c r="G43" i="83"/>
  <c r="G38" i="83"/>
  <c r="K23" i="82"/>
  <c r="K25" i="82"/>
  <c r="F43" i="83"/>
  <c r="H19" i="83" a="1"/>
  <c r="H19" i="83" s="1"/>
  <c r="L6" i="82" s="1"/>
  <c r="L3" i="82" s="1"/>
  <c r="H10" i="83" s="1"/>
  <c r="H34" i="83" s="1"/>
  <c r="L29" i="82" s="1"/>
  <c r="H31" i="83" a="1"/>
  <c r="H31" i="83" s="1"/>
  <c r="L18" i="82" s="1"/>
  <c r="F38" i="83"/>
  <c r="G45" i="83"/>
  <c r="K13" i="82"/>
  <c r="F41" i="83"/>
  <c r="F45" i="83"/>
  <c r="O4" i="82"/>
  <c r="M22" i="82"/>
  <c r="I20" i="83"/>
  <c r="H32" i="83" a="1"/>
  <c r="H32" i="83" s="1"/>
  <c r="L19" i="82" s="1"/>
  <c r="D72" i="82"/>
  <c r="H60" i="82" s="1"/>
  <c r="I49" i="25"/>
  <c r="I52" i="25" s="1"/>
  <c r="I41" i="25"/>
  <c r="H53" i="25"/>
  <c r="H54" i="25" s="1"/>
  <c r="J40" i="25"/>
  <c r="E40" i="82"/>
  <c r="G40" i="82"/>
  <c r="F40" i="82"/>
  <c r="L59" i="82"/>
  <c r="L55" i="82" l="1"/>
  <c r="K39" i="82"/>
  <c r="J45" i="82"/>
  <c r="K45" i="82" s="1"/>
  <c r="L46" i="82"/>
  <c r="J20" i="82"/>
  <c r="J21" i="82" s="1"/>
  <c r="L9" i="82"/>
  <c r="H43" i="83"/>
  <c r="K20" i="82"/>
  <c r="L16" i="82"/>
  <c r="L26" i="82" s="1"/>
  <c r="L27" i="82" s="1"/>
  <c r="K17" i="82"/>
  <c r="L23" i="82"/>
  <c r="I32" i="83" a="1"/>
  <c r="I32" i="83" s="1"/>
  <c r="M19" i="82" s="1"/>
  <c r="O19" i="82" s="1"/>
  <c r="I19" i="83" a="1"/>
  <c r="I19" i="83" s="1"/>
  <c r="M6" i="82" s="1"/>
  <c r="I31" i="83" a="1"/>
  <c r="I31" i="83" s="1"/>
  <c r="M18" i="82" s="1"/>
  <c r="O18" i="82" s="1"/>
  <c r="H45" i="83"/>
  <c r="H41" i="83"/>
  <c r="L25" i="82"/>
  <c r="H38" i="83"/>
  <c r="L13" i="82"/>
  <c r="O22" i="82"/>
  <c r="I60" i="82"/>
  <c r="J60" i="82"/>
  <c r="K60" i="82"/>
  <c r="J49" i="25"/>
  <c r="J52" i="25" s="1"/>
  <c r="I53" i="25"/>
  <c r="I54" i="25" s="1"/>
  <c r="J41" i="25"/>
  <c r="K40" i="25"/>
  <c r="M59" i="82"/>
  <c r="O59" i="82" s="1"/>
  <c r="L60" i="82"/>
  <c r="J44" i="82" l="1"/>
  <c r="M55" i="82"/>
  <c r="L39" i="82"/>
  <c r="L45" i="82"/>
  <c r="K44" i="82"/>
  <c r="L20" i="82"/>
  <c r="L21" i="82" s="1"/>
  <c r="K21" i="82"/>
  <c r="L17" i="82"/>
  <c r="O16" i="82"/>
  <c r="O6" i="82"/>
  <c r="O3" i="82" s="1"/>
  <c r="O9" i="82" s="1"/>
  <c r="M3" i="82"/>
  <c r="M16" i="82"/>
  <c r="M26" i="82" s="1"/>
  <c r="K49" i="25"/>
  <c r="K52" i="25" s="1"/>
  <c r="K41" i="25"/>
  <c r="J53" i="25"/>
  <c r="J54" i="25" s="1"/>
  <c r="M40" i="25"/>
  <c r="L40" i="25"/>
  <c r="M60" i="82"/>
  <c r="O55" i="82" l="1"/>
  <c r="M39" i="82"/>
  <c r="O39" i="82" s="1"/>
  <c r="M46" i="82"/>
  <c r="O46" i="82" s="1"/>
  <c r="O48" i="82"/>
  <c r="O54" i="82"/>
  <c r="M45" i="82"/>
  <c r="M44" i="82" s="1"/>
  <c r="L44" i="82"/>
  <c r="O17" i="82"/>
  <c r="I10" i="83"/>
  <c r="I34" i="83" s="1"/>
  <c r="M9" i="82"/>
  <c r="M25" i="82"/>
  <c r="M13" i="82"/>
  <c r="M23" i="82"/>
  <c r="O13" i="82"/>
  <c r="O26" i="82"/>
  <c r="O27" i="82" s="1"/>
  <c r="O25" i="82"/>
  <c r="O23" i="82"/>
  <c r="M17" i="82"/>
  <c r="M27" i="82"/>
  <c r="L49" i="25"/>
  <c r="L52" i="25" s="1"/>
  <c r="M49" i="25"/>
  <c r="M52" i="25" s="1"/>
  <c r="M41" i="25"/>
  <c r="L41" i="25"/>
  <c r="K53" i="25"/>
  <c r="K54" i="25" s="1"/>
  <c r="O44" i="82" l="1"/>
  <c r="O50" i="82" s="1"/>
  <c r="M50" i="82"/>
  <c r="O20" i="82"/>
  <c r="M20" i="82"/>
  <c r="I43" i="83"/>
  <c r="I38" i="83"/>
  <c r="M29" i="82"/>
  <c r="O29" i="82" s="1"/>
  <c r="I41" i="83"/>
  <c r="I45" i="83"/>
  <c r="L53" i="25"/>
  <c r="L54" i="25" s="1"/>
  <c r="M53" i="25"/>
  <c r="M54" i="25" s="1"/>
  <c r="O60" i="82"/>
  <c r="O21" i="82" l="1"/>
  <c r="O51" i="82"/>
  <c r="M21" i="82"/>
  <c r="C9" i="83"/>
  <c r="G38" i="82"/>
  <c r="F38" i="82"/>
  <c r="E38" i="82"/>
  <c r="C2" i="82"/>
  <c r="B2" i="82"/>
  <c r="B24" i="83"/>
  <c r="E2" i="82"/>
  <c r="F2" i="82" s="1"/>
  <c r="G66" i="25"/>
  <c r="G65" i="25" s="1"/>
  <c r="G60" i="25"/>
  <c r="E2" i="25"/>
  <c r="F2" i="25" s="1"/>
  <c r="H2" i="82" l="1"/>
  <c r="I2" i="82" s="1"/>
  <c r="J2" i="82" s="1"/>
  <c r="K2" i="82" s="1"/>
  <c r="G2" i="82"/>
  <c r="G71" i="25"/>
  <c r="H38" i="82"/>
  <c r="G2" i="25"/>
  <c r="H2" i="25"/>
  <c r="G14" i="31"/>
  <c r="D7" i="27" s="1"/>
  <c r="F14" i="31"/>
  <c r="G13" i="31"/>
  <c r="F13" i="31"/>
  <c r="N4" i="29"/>
  <c r="M4" i="29"/>
  <c r="G7" i="27" l="1"/>
  <c r="N7" i="27"/>
  <c r="L7" i="27"/>
  <c r="I7" i="27"/>
  <c r="K7" i="27"/>
  <c r="T4" i="29"/>
  <c r="P4" i="29"/>
  <c r="W4" i="29" s="1"/>
  <c r="U4" i="29"/>
  <c r="Q4" i="29"/>
  <c r="X4" i="29" s="1"/>
  <c r="L2" i="82"/>
  <c r="M2" i="82" s="1"/>
  <c r="U9" i="29"/>
  <c r="S11" i="29"/>
  <c r="G28" i="82"/>
  <c r="I38" i="82"/>
  <c r="D28" i="82"/>
  <c r="D31" i="82" s="1"/>
  <c r="E28" i="82"/>
  <c r="F28" i="82"/>
  <c r="F31" i="82" s="1"/>
  <c r="I2" i="25"/>
  <c r="T7" i="29"/>
  <c r="S7" i="29"/>
  <c r="M7" i="27" l="1"/>
  <c r="E7" i="27"/>
  <c r="J7" i="27" s="1"/>
  <c r="F34" i="82"/>
  <c r="F35" i="82"/>
  <c r="F37" i="82" s="1"/>
  <c r="F41" i="82" s="1"/>
  <c r="D34" i="82"/>
  <c r="D35" i="82"/>
  <c r="D37" i="82" s="1"/>
  <c r="E31" i="82"/>
  <c r="G31" i="82"/>
  <c r="U11" i="29"/>
  <c r="T11" i="29"/>
  <c r="J38" i="82"/>
  <c r="J2" i="25"/>
  <c r="K2" i="25" s="1"/>
  <c r="U6" i="29"/>
  <c r="U8" i="29"/>
  <c r="T9" i="29"/>
  <c r="S10" i="29"/>
  <c r="U7" i="29"/>
  <c r="S6" i="29"/>
  <c r="T6" i="29"/>
  <c r="G35" i="82" l="1"/>
  <c r="G37" i="82" s="1"/>
  <c r="G41" i="82" s="1"/>
  <c r="E35" i="82"/>
  <c r="E37" i="82" s="1"/>
  <c r="E41" i="82" s="1"/>
  <c r="E34" i="82"/>
  <c r="G34" i="82"/>
  <c r="L2" i="25"/>
  <c r="M2" i="25" s="1"/>
  <c r="K38" i="82"/>
  <c r="S9" i="29"/>
  <c r="U10" i="29"/>
  <c r="U12" i="29" s="1"/>
  <c r="U13" i="29" s="1"/>
  <c r="D11" i="27" s="1"/>
  <c r="T10" i="29"/>
  <c r="S8" i="29"/>
  <c r="T8" i="29"/>
  <c r="T12" i="29" l="1"/>
  <c r="T13" i="29" s="1"/>
  <c r="D12" i="27" s="1"/>
  <c r="L12" i="27" s="1"/>
  <c r="S12" i="29"/>
  <c r="S13" i="29" s="1"/>
  <c r="N11" i="27"/>
  <c r="L11" i="27"/>
  <c r="G11" i="27"/>
  <c r="I11" i="27"/>
  <c r="K11" i="27"/>
  <c r="G12" i="27"/>
  <c r="K12" i="27"/>
  <c r="I12" i="27"/>
  <c r="O3" i="25"/>
  <c r="O17" i="25"/>
  <c r="G58" i="82"/>
  <c r="E58" i="82"/>
  <c r="O55" i="25"/>
  <c r="O48" i="25"/>
  <c r="O42" i="25"/>
  <c r="O46" i="25"/>
  <c r="O54" i="25"/>
  <c r="O45" i="25"/>
  <c r="O53" i="25"/>
  <c r="O44" i="25"/>
  <c r="O52" i="25"/>
  <c r="O43" i="25"/>
  <c r="O50" i="25"/>
  <c r="O37" i="25"/>
  <c r="O49" i="25"/>
  <c r="O51" i="25"/>
  <c r="O57" i="25"/>
  <c r="O39" i="25"/>
  <c r="O31" i="25"/>
  <c r="O23" i="25"/>
  <c r="O13" i="25"/>
  <c r="O6" i="25"/>
  <c r="O5" i="25"/>
  <c r="O38" i="25"/>
  <c r="O30" i="25"/>
  <c r="O21" i="25"/>
  <c r="O12" i="25"/>
  <c r="O7" i="25"/>
  <c r="O4" i="25"/>
  <c r="O29" i="25"/>
  <c r="O20" i="25"/>
  <c r="O11" i="25"/>
  <c r="O15" i="25"/>
  <c r="O36" i="25"/>
  <c r="O28" i="25"/>
  <c r="O19" i="25"/>
  <c r="O10" i="25"/>
  <c r="O25" i="25"/>
  <c r="O14" i="25"/>
  <c r="O35" i="25"/>
  <c r="O27" i="25"/>
  <c r="O18" i="25"/>
  <c r="O9" i="25"/>
  <c r="O32" i="25"/>
  <c r="O34" i="25"/>
  <c r="O26" i="25"/>
  <c r="O16" i="25"/>
  <c r="O8" i="25"/>
  <c r="O33" i="25"/>
  <c r="O24" i="25"/>
  <c r="O22" i="25"/>
  <c r="O40" i="25"/>
  <c r="F58" i="82"/>
  <c r="L38" i="82"/>
  <c r="N12" i="27" l="1"/>
  <c r="E12" i="27"/>
  <c r="J12" i="27" s="1"/>
  <c r="M12" i="27"/>
  <c r="E11" i="27"/>
  <c r="J11" i="27" s="1"/>
  <c r="M11" i="27"/>
  <c r="M38" i="82"/>
  <c r="H28" i="82" l="1"/>
  <c r="H31" i="82" s="1"/>
  <c r="H34" i="82" l="1"/>
  <c r="H35" i="82"/>
  <c r="H37" i="82" s="1"/>
  <c r="I28" i="82"/>
  <c r="I31" i="82" s="1"/>
  <c r="I34" i="82" l="1"/>
  <c r="I35" i="82"/>
  <c r="I37" i="82" s="1"/>
  <c r="J28" i="82"/>
  <c r="J31" i="82" s="1"/>
  <c r="J34" i="82" l="1"/>
  <c r="J35" i="82"/>
  <c r="J37" i="82" s="1"/>
  <c r="K28" i="82"/>
  <c r="O28" i="82"/>
  <c r="O31" i="82" s="1"/>
  <c r="O35" i="82" l="1"/>
  <c r="O37" i="82" s="1"/>
  <c r="K31" i="82"/>
  <c r="M28" i="82"/>
  <c r="L28" i="82"/>
  <c r="L31" i="82" s="1"/>
  <c r="L34" i="82" l="1"/>
  <c r="L35" i="82"/>
  <c r="L37" i="82" s="1"/>
  <c r="K34" i="82"/>
  <c r="K35" i="82"/>
  <c r="K37" i="82" s="1"/>
  <c r="M31" i="82"/>
  <c r="O34" i="82"/>
  <c r="M34" i="82" l="1"/>
  <c r="M35" i="82"/>
  <c r="M37" i="82" s="1"/>
  <c r="E79" i="25" l="1"/>
  <c r="E83" i="25" s="1"/>
  <c r="E84" i="25" s="1"/>
  <c r="G79" i="25"/>
  <c r="G83" i="25" s="1"/>
  <c r="G84" i="25" s="1"/>
  <c r="F79" i="25"/>
  <c r="F83" i="25" s="1"/>
  <c r="F84" i="25" s="1"/>
  <c r="D9" i="82" l="1"/>
  <c r="K50" i="82"/>
  <c r="L50" i="82"/>
  <c r="I50" i="82"/>
  <c r="J50" i="82"/>
  <c r="H50" i="82" l="1"/>
  <c r="H51" i="82" s="1"/>
  <c r="H40" i="82" s="1"/>
  <c r="L51" i="82"/>
  <c r="L40" i="82" s="1"/>
  <c r="K51" i="82"/>
  <c r="K40" i="82" s="1"/>
  <c r="M51" i="82"/>
  <c r="M40" i="82" s="1"/>
  <c r="J51" i="82"/>
  <c r="J40" i="82" s="1"/>
  <c r="O40" i="82"/>
  <c r="O41" i="82" l="1"/>
  <c r="O58" i="82" s="1"/>
  <c r="O61" i="82" s="1"/>
  <c r="D64" i="82" s="1"/>
  <c r="L41" i="82"/>
  <c r="L58" i="82" s="1"/>
  <c r="L61" i="82" s="1"/>
  <c r="J41" i="82"/>
  <c r="J58" i="82" s="1"/>
  <c r="J61" i="82" s="1"/>
  <c r="M41" i="82"/>
  <c r="M58" i="82" s="1"/>
  <c r="M61" i="82" s="1"/>
  <c r="K41" i="82"/>
  <c r="K58" i="82" s="1"/>
  <c r="K61" i="82" s="1"/>
  <c r="H41" i="82"/>
  <c r="H58" i="82" s="1"/>
  <c r="H61" i="82" s="1"/>
  <c r="I51" i="82"/>
  <c r="I40" i="82" s="1"/>
  <c r="I41" i="82" l="1"/>
  <c r="I58" i="82" s="1"/>
  <c r="I61" i="82" s="1"/>
  <c r="D63" i="82" s="1"/>
  <c r="D68" i="82" s="1"/>
  <c r="G13" i="27" s="1"/>
  <c r="M13" i="27" s="1"/>
  <c r="D69" i="82" l="1"/>
  <c r="H80" i="82" s="1"/>
  <c r="H64" i="82"/>
  <c r="E64" i="82"/>
  <c r="D76" i="82"/>
  <c r="D80" i="82" s="1"/>
  <c r="E13" i="27" l="1"/>
  <c r="J13" i="27" s="1"/>
  <c r="G10" i="27"/>
  <c r="M10" i="27" s="1"/>
  <c r="D81" i="82"/>
  <c r="H88" i="82" s="1"/>
  <c r="H72" i="82" l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<sst xmlns="http://schemas.openxmlformats.org/spreadsheetml/2006/main" count="405" uniqueCount="304">
  <si>
    <t>EBITDA</t>
    <phoneticPr fontId="2"/>
  </si>
  <si>
    <t>-</t>
    <phoneticPr fontId="2"/>
  </si>
  <si>
    <t>売上高</t>
    <rPh sb="0" eb="3">
      <t>ウリアゲダカ</t>
    </rPh>
    <phoneticPr fontId="2"/>
  </si>
  <si>
    <t>その他</t>
    <rPh sb="2" eb="3">
      <t>タ</t>
    </rPh>
    <phoneticPr fontId="2"/>
  </si>
  <si>
    <t>（百万円）</t>
    <rPh sb="1" eb="4">
      <t>ヒャクマンエン</t>
    </rPh>
    <phoneticPr fontId="2"/>
  </si>
  <si>
    <t>実績←</t>
    <rPh sb="0" eb="2">
      <t>ジッセキ</t>
    </rPh>
    <phoneticPr fontId="2"/>
  </si>
  <si>
    <t>見込み</t>
    <rPh sb="0" eb="2">
      <t>ミコ</t>
    </rPh>
    <phoneticPr fontId="2"/>
  </si>
  <si>
    <t>→計画</t>
    <rPh sb="1" eb="3">
      <t>ケイカク</t>
    </rPh>
    <phoneticPr fontId="2"/>
  </si>
  <si>
    <t>売上原価</t>
    <rPh sb="0" eb="4">
      <t>ウリアゲゲンカ</t>
    </rPh>
    <phoneticPr fontId="2"/>
  </si>
  <si>
    <t>減価償却費</t>
    <rPh sb="0" eb="5">
      <t>ゲンカショウキャクヒ</t>
    </rPh>
    <phoneticPr fontId="2"/>
  </si>
  <si>
    <t>売上総利益</t>
    <rPh sb="0" eb="5">
      <t>ウリアゲソウリエキ</t>
    </rPh>
    <phoneticPr fontId="2"/>
  </si>
  <si>
    <t>販売費および一般管理費</t>
    <rPh sb="0" eb="3">
      <t>ハンバイヒ</t>
    </rPh>
    <rPh sb="6" eb="11">
      <t>イッパンカンリヒ</t>
    </rPh>
    <phoneticPr fontId="2"/>
  </si>
  <si>
    <t>営業利益</t>
    <rPh sb="0" eb="4">
      <t>エイギョウリエキ</t>
    </rPh>
    <phoneticPr fontId="2"/>
  </si>
  <si>
    <t>CAGR</t>
    <phoneticPr fontId="2"/>
  </si>
  <si>
    <t>経常利益</t>
    <rPh sb="0" eb="4">
      <t>ケイジョウリエキ</t>
    </rPh>
    <phoneticPr fontId="2"/>
  </si>
  <si>
    <t>流動資産</t>
    <rPh sb="0" eb="4">
      <t>リュウドウシサン</t>
    </rPh>
    <phoneticPr fontId="2"/>
  </si>
  <si>
    <t>現金及び預金</t>
    <rPh sb="0" eb="3">
      <t>ゲンキンオヨ</t>
    </rPh>
    <rPh sb="4" eb="6">
      <t>ヨキン</t>
    </rPh>
    <phoneticPr fontId="2"/>
  </si>
  <si>
    <t>売掛金</t>
    <rPh sb="0" eb="3">
      <t>ウリカケキン</t>
    </rPh>
    <phoneticPr fontId="2"/>
  </si>
  <si>
    <t>固定資産</t>
    <rPh sb="0" eb="4">
      <t>コテイシサン</t>
    </rPh>
    <phoneticPr fontId="2"/>
  </si>
  <si>
    <t>資産合計</t>
    <rPh sb="0" eb="4">
      <t>シサンゴウケイ</t>
    </rPh>
    <phoneticPr fontId="2"/>
  </si>
  <si>
    <t>流動負債</t>
    <rPh sb="0" eb="4">
      <t>リュウドウフサイ</t>
    </rPh>
    <phoneticPr fontId="2"/>
  </si>
  <si>
    <t>短期借入金</t>
    <rPh sb="0" eb="5">
      <t>タンキカリイレキン</t>
    </rPh>
    <phoneticPr fontId="2"/>
  </si>
  <si>
    <t>負債合計</t>
    <rPh sb="0" eb="4">
      <t>フサイゴウケイ</t>
    </rPh>
    <phoneticPr fontId="2"/>
  </si>
  <si>
    <t>資本金</t>
    <rPh sb="0" eb="3">
      <t>シホンキン</t>
    </rPh>
    <phoneticPr fontId="2"/>
  </si>
  <si>
    <t>純資産合計</t>
    <rPh sb="0" eb="5">
      <t>ジュンシサンゴウケイ</t>
    </rPh>
    <phoneticPr fontId="2"/>
  </si>
  <si>
    <t>負債・純資産合計</t>
    <rPh sb="0" eb="2">
      <t>フサイ</t>
    </rPh>
    <rPh sb="3" eb="8">
      <t>ジュンシサンゴウケイ</t>
    </rPh>
    <phoneticPr fontId="2"/>
  </si>
  <si>
    <t>営業外収益</t>
    <rPh sb="0" eb="5">
      <t>エイギョウガイシュウエキ</t>
    </rPh>
    <phoneticPr fontId="2"/>
  </si>
  <si>
    <t>雑収入</t>
    <rPh sb="0" eb="3">
      <t>ザッシュウニュウ</t>
    </rPh>
    <phoneticPr fontId="2"/>
  </si>
  <si>
    <t>支払利息</t>
    <rPh sb="0" eb="4">
      <t>シハライリソク</t>
    </rPh>
    <phoneticPr fontId="2"/>
  </si>
  <si>
    <t>雑損失</t>
    <rPh sb="0" eb="3">
      <t>ザッソンシツ</t>
    </rPh>
    <phoneticPr fontId="2"/>
  </si>
  <si>
    <t>税引前当期純利益</t>
    <rPh sb="0" eb="2">
      <t>ゼイビ</t>
    </rPh>
    <rPh sb="2" eb="3">
      <t>マエ</t>
    </rPh>
    <rPh sb="3" eb="8">
      <t>トウキジュンリエキ</t>
    </rPh>
    <phoneticPr fontId="2"/>
  </si>
  <si>
    <t>当期純利益</t>
    <rPh sb="0" eb="5">
      <t>トウキジュンリエキ</t>
    </rPh>
    <phoneticPr fontId="2"/>
  </si>
  <si>
    <t>役員報酬</t>
    <rPh sb="0" eb="4">
      <t>ヤクインホウシュウ</t>
    </rPh>
    <phoneticPr fontId="2"/>
  </si>
  <si>
    <t>給料手当</t>
    <rPh sb="0" eb="4">
      <t>キュウリョウテアテ</t>
    </rPh>
    <phoneticPr fontId="2"/>
  </si>
  <si>
    <t>賞与</t>
    <rPh sb="0" eb="2">
      <t>ショウヨ</t>
    </rPh>
    <phoneticPr fontId="2"/>
  </si>
  <si>
    <t>福利厚生費</t>
    <rPh sb="0" eb="5">
      <t>フクリコウセイヒ</t>
    </rPh>
    <phoneticPr fontId="2"/>
  </si>
  <si>
    <t>業務委託費</t>
    <rPh sb="0" eb="5">
      <t>ギョウムイタクヒ</t>
    </rPh>
    <phoneticPr fontId="2"/>
  </si>
  <si>
    <t>荷造包装費</t>
    <rPh sb="0" eb="2">
      <t>ニヅク</t>
    </rPh>
    <rPh sb="2" eb="5">
      <t>ホウソウヒ</t>
    </rPh>
    <phoneticPr fontId="2"/>
  </si>
  <si>
    <t>広告宣伝費</t>
    <rPh sb="0" eb="5">
      <t>コウコクセンデンヒ</t>
    </rPh>
    <phoneticPr fontId="2"/>
  </si>
  <si>
    <t>接待交際費</t>
    <rPh sb="0" eb="5">
      <t>セッタイコウサイヒ</t>
    </rPh>
    <phoneticPr fontId="2"/>
  </si>
  <si>
    <t>旅費交通費</t>
    <rPh sb="0" eb="5">
      <t>リョヒコウツウヒ</t>
    </rPh>
    <phoneticPr fontId="2"/>
  </si>
  <si>
    <t>通信費</t>
    <rPh sb="0" eb="3">
      <t>ツウシンヒ</t>
    </rPh>
    <phoneticPr fontId="2"/>
  </si>
  <si>
    <t>消耗品費</t>
    <rPh sb="0" eb="4">
      <t>ショウモウヒンヒ</t>
    </rPh>
    <phoneticPr fontId="2"/>
  </si>
  <si>
    <t>水道光熱費</t>
    <rPh sb="0" eb="5">
      <t>スイドウコウネツヒ</t>
    </rPh>
    <phoneticPr fontId="2"/>
  </si>
  <si>
    <t>支払手数料</t>
    <rPh sb="0" eb="5">
      <t>シハライテスウリョウ</t>
    </rPh>
    <phoneticPr fontId="2"/>
  </si>
  <si>
    <t>地代家賃</t>
    <rPh sb="0" eb="4">
      <t>チダイヤチン</t>
    </rPh>
    <phoneticPr fontId="2"/>
  </si>
  <si>
    <t>保険料</t>
    <rPh sb="0" eb="3">
      <t>ホケンリョウ</t>
    </rPh>
    <phoneticPr fontId="2"/>
  </si>
  <si>
    <t>雑費</t>
    <rPh sb="0" eb="2">
      <t>ザッピ</t>
    </rPh>
    <phoneticPr fontId="2"/>
  </si>
  <si>
    <t>有形固定資産</t>
    <rPh sb="0" eb="6">
      <t>ユウケイコテイシサン</t>
    </rPh>
    <phoneticPr fontId="2"/>
  </si>
  <si>
    <t>無形固定資産</t>
    <rPh sb="0" eb="6">
      <t>ムケイコテイシサン</t>
    </rPh>
    <phoneticPr fontId="2"/>
  </si>
  <si>
    <t>出資等</t>
    <rPh sb="0" eb="2">
      <t>シュッシ</t>
    </rPh>
    <rPh sb="2" eb="3">
      <t>ナド</t>
    </rPh>
    <phoneticPr fontId="2"/>
  </si>
  <si>
    <t>利益剰余金</t>
    <rPh sb="0" eb="2">
      <t>リエキ</t>
    </rPh>
    <rPh sb="2" eb="5">
      <t>ジョウヨキン</t>
    </rPh>
    <phoneticPr fontId="2"/>
  </si>
  <si>
    <t>営業外費用</t>
    <rPh sb="0" eb="2">
      <t>エイギョウ</t>
    </rPh>
    <rPh sb="2" eb="3">
      <t>ガイ</t>
    </rPh>
    <rPh sb="3" eb="5">
      <t>ヒヨウ</t>
    </rPh>
    <phoneticPr fontId="2"/>
  </si>
  <si>
    <t>純有利子
負債</t>
    <rPh sb="0" eb="1">
      <t>ジュン</t>
    </rPh>
    <rPh sb="1" eb="2">
      <t>ユウ</t>
    </rPh>
    <rPh sb="2" eb="4">
      <t>リシ</t>
    </rPh>
    <rPh sb="5" eb="7">
      <t>フサイ</t>
    </rPh>
    <phoneticPr fontId="2"/>
  </si>
  <si>
    <t>EV/EBITDA</t>
    <phoneticPr fontId="2"/>
  </si>
  <si>
    <t>LTM</t>
    <phoneticPr fontId="2"/>
  </si>
  <si>
    <t>AVE</t>
    <phoneticPr fontId="2"/>
  </si>
  <si>
    <t>Median</t>
    <phoneticPr fontId="2"/>
  </si>
  <si>
    <t>Sellers</t>
  </si>
  <si>
    <t xml:space="preserve"> Ownership 
(%)</t>
    <phoneticPr fontId="2"/>
  </si>
  <si>
    <t>Larsen &amp; Toubro Limited (BSE:500510)</t>
  </si>
  <si>
    <t>The Carlyle Group Inc. (NasdaqGS:CG)</t>
  </si>
  <si>
    <t>コード</t>
    <phoneticPr fontId="2"/>
  </si>
  <si>
    <t>今期</t>
    <rPh sb="0" eb="2">
      <t>コンキ</t>
    </rPh>
    <phoneticPr fontId="2"/>
  </si>
  <si>
    <t>来期</t>
    <rPh sb="0" eb="2">
      <t>ライキ</t>
    </rPh>
    <phoneticPr fontId="2"/>
  </si>
  <si>
    <t>時価総額</t>
    <rPh sb="0" eb="4">
      <t>ジカソウガク</t>
    </rPh>
    <phoneticPr fontId="2"/>
  </si>
  <si>
    <t>上場類似企業</t>
    <rPh sb="0" eb="6">
      <t>ジョウジョウルイジキギョウ</t>
    </rPh>
    <phoneticPr fontId="2"/>
  </si>
  <si>
    <t>企業価値</t>
    <rPh sb="0" eb="4">
      <t>キギョウカチ</t>
    </rPh>
    <phoneticPr fontId="2"/>
  </si>
  <si>
    <t>（EV）</t>
    <phoneticPr fontId="2"/>
  </si>
  <si>
    <t>発表日</t>
    <rPh sb="0" eb="3">
      <t>ハッピョウビ</t>
    </rPh>
    <phoneticPr fontId="2"/>
  </si>
  <si>
    <t>訪問看護・通所介護系+施設系</t>
    <rPh sb="0" eb="4">
      <t>ホウモンカンゴ</t>
    </rPh>
    <rPh sb="5" eb="9">
      <t>ツウショカイゴ</t>
    </rPh>
    <rPh sb="9" eb="10">
      <t>ケイ</t>
    </rPh>
    <rPh sb="11" eb="14">
      <t>シセツケイ</t>
    </rPh>
    <phoneticPr fontId="2"/>
  </si>
  <si>
    <t>Min</t>
    <phoneticPr fontId="2"/>
  </si>
  <si>
    <t>Max</t>
    <phoneticPr fontId="2"/>
  </si>
  <si>
    <t>類似取引マルチプル（参考）</t>
    <rPh sb="0" eb="4">
      <t>ルイジトリヒキ</t>
    </rPh>
    <rPh sb="10" eb="12">
      <t>サンコウ</t>
    </rPh>
    <phoneticPr fontId="2"/>
  </si>
  <si>
    <t>単位：百万円　</t>
    <rPh sb="0" eb="2">
      <t>タンイ</t>
    </rPh>
    <rPh sb="3" eb="6">
      <t>ヒャクマンエン</t>
    </rPh>
    <phoneticPr fontId="2"/>
  </si>
  <si>
    <t>変動費</t>
    <rPh sb="0" eb="3">
      <t>ヘンドウヒ</t>
    </rPh>
    <phoneticPr fontId="2"/>
  </si>
  <si>
    <t>固定費</t>
    <rPh sb="0" eb="3">
      <t>コテイヒ</t>
    </rPh>
    <phoneticPr fontId="2"/>
  </si>
  <si>
    <t>固変分解</t>
    <rPh sb="0" eb="1">
      <t>コ</t>
    </rPh>
    <rPh sb="1" eb="2">
      <t>ヘン</t>
    </rPh>
    <rPh sb="2" eb="4">
      <t>ブンカイ</t>
    </rPh>
    <phoneticPr fontId="2"/>
  </si>
  <si>
    <t>+）</t>
    <phoneticPr fontId="2"/>
  </si>
  <si>
    <t>実効税率</t>
    <rPh sb="0" eb="4">
      <t>ジッコウゼイリツ</t>
    </rPh>
    <phoneticPr fontId="2"/>
  </si>
  <si>
    <t>NOPLAT</t>
    <phoneticPr fontId="2"/>
  </si>
  <si>
    <t>Terminal</t>
    <phoneticPr fontId="2"/>
  </si>
  <si>
    <t>WACC</t>
    <phoneticPr fontId="2"/>
  </si>
  <si>
    <t>永久成長率</t>
    <rPh sb="0" eb="5">
      <t>エイキュウセイチョウリツ</t>
    </rPh>
    <phoneticPr fontId="2"/>
  </si>
  <si>
    <t>前提条件</t>
    <rPh sb="0" eb="4">
      <t>ゼンテイジョウケン</t>
    </rPh>
    <phoneticPr fontId="2"/>
  </si>
  <si>
    <t>WACC</t>
    <phoneticPr fontId="2"/>
  </si>
  <si>
    <t>永久成長率</t>
    <rPh sb="0" eb="5">
      <t>エイキュウセイチョウリツ</t>
    </rPh>
    <phoneticPr fontId="2"/>
  </si>
  <si>
    <t>-</t>
    <phoneticPr fontId="2"/>
  </si>
  <si>
    <t>-）</t>
    <phoneticPr fontId="2"/>
  </si>
  <si>
    <t>±）</t>
    <phoneticPr fontId="2"/>
  </si>
  <si>
    <t>運転資本増減</t>
    <rPh sb="0" eb="6">
      <t>ウンテンシホンゾウゲン</t>
    </rPh>
    <phoneticPr fontId="2"/>
  </si>
  <si>
    <t>運転資本増減</t>
    <rPh sb="0" eb="6">
      <t>ウンテンシホンゾウゲン</t>
    </rPh>
    <phoneticPr fontId="2"/>
  </si>
  <si>
    <t>運転資本</t>
    <rPh sb="0" eb="4">
      <t>ウンテンシホン</t>
    </rPh>
    <phoneticPr fontId="2"/>
  </si>
  <si>
    <t>売掛債権回転日数</t>
    <rPh sb="2" eb="4">
      <t>サイケン</t>
    </rPh>
    <rPh sb="4" eb="8">
      <t>カイテンニッスウ</t>
    </rPh>
    <phoneticPr fontId="2"/>
  </si>
  <si>
    <t>買掛債務</t>
    <rPh sb="0" eb="4">
      <t>カイカケサイム</t>
    </rPh>
    <phoneticPr fontId="2"/>
  </si>
  <si>
    <t>運転資本増減</t>
    <rPh sb="0" eb="4">
      <t>ウンテンシホン</t>
    </rPh>
    <rPh sb="4" eb="6">
      <t>ゾウゲン</t>
    </rPh>
    <phoneticPr fontId="2"/>
  </si>
  <si>
    <t>FCF</t>
    <phoneticPr fontId="2"/>
  </si>
  <si>
    <t>割引期間</t>
    <rPh sb="0" eb="4">
      <t>ワリビキキカン</t>
    </rPh>
    <phoneticPr fontId="2"/>
  </si>
  <si>
    <t>割引係数</t>
    <rPh sb="0" eb="4">
      <t>ワリビキケイスウ</t>
    </rPh>
    <phoneticPr fontId="2"/>
  </si>
  <si>
    <t>現在価値</t>
    <rPh sb="0" eb="4">
      <t>ゲンザイカチ</t>
    </rPh>
    <phoneticPr fontId="2"/>
  </si>
  <si>
    <t>計画期間中のFCF合計</t>
    <rPh sb="0" eb="2">
      <t>ケイカク</t>
    </rPh>
    <rPh sb="2" eb="5">
      <t>キカンチュウ</t>
    </rPh>
    <rPh sb="9" eb="11">
      <t>ゴウケイ</t>
    </rPh>
    <phoneticPr fontId="2"/>
  </si>
  <si>
    <t>継続価値</t>
    <rPh sb="0" eb="4">
      <t>ケイゾクカチ</t>
    </rPh>
    <phoneticPr fontId="2"/>
  </si>
  <si>
    <t>+) キャッシュライクアイテム</t>
    <phoneticPr fontId="2"/>
  </si>
  <si>
    <t>-)　デットライクアイテム</t>
    <phoneticPr fontId="2"/>
  </si>
  <si>
    <t>企業価値</t>
    <rPh sb="0" eb="2">
      <t>キギョウ</t>
    </rPh>
    <rPh sb="2" eb="4">
      <t>カチ</t>
    </rPh>
    <phoneticPr fontId="2"/>
  </si>
  <si>
    <t>企業価値</t>
    <rPh sb="0" eb="4">
      <t>キギョウカチ</t>
    </rPh>
    <phoneticPr fontId="2"/>
  </si>
  <si>
    <t>株式価値</t>
    <rPh sb="0" eb="2">
      <t>カブシキ</t>
    </rPh>
    <rPh sb="2" eb="4">
      <t>カチ</t>
    </rPh>
    <phoneticPr fontId="2"/>
  </si>
  <si>
    <t>株式価値</t>
    <rPh sb="0" eb="2">
      <t>カブシキ</t>
    </rPh>
    <rPh sb="2" eb="4">
      <t>カチ</t>
    </rPh>
    <phoneticPr fontId="2"/>
  </si>
  <si>
    <t>シナリオ</t>
    <phoneticPr fontId="2"/>
  </si>
  <si>
    <t>WACC</t>
    <phoneticPr fontId="22"/>
  </si>
  <si>
    <t>前提条件</t>
    <rPh sb="0" eb="4">
      <t>ゼンテイジョウケン</t>
    </rPh>
    <phoneticPr fontId="2"/>
  </si>
  <si>
    <t>新発10年物国債の利回り</t>
    <phoneticPr fontId="22"/>
  </si>
  <si>
    <t>税率</t>
    <rPh sb="0" eb="2">
      <t>ゼイリツ</t>
    </rPh>
    <phoneticPr fontId="22"/>
  </si>
  <si>
    <t>Equity P ※</t>
    <phoneticPr fontId="22"/>
  </si>
  <si>
    <t>DE ratio</t>
    <phoneticPr fontId="22"/>
  </si>
  <si>
    <t>対象会社Tax Rate</t>
    <rPh sb="0" eb="4">
      <t>タイショウカイシャ</t>
    </rPh>
    <phoneticPr fontId="22"/>
  </si>
  <si>
    <t>Small size premium</t>
    <phoneticPr fontId="22"/>
  </si>
  <si>
    <t>No access to Ibbotson</t>
    <phoneticPr fontId="22"/>
  </si>
  <si>
    <t>WACCの計算</t>
    <rPh sb="5" eb="7">
      <t>ケイサン</t>
    </rPh>
    <phoneticPr fontId="22"/>
  </si>
  <si>
    <t>上場類似会社</t>
    <rPh sb="0" eb="6">
      <t>ジョウジョウルイジカイシャ</t>
    </rPh>
    <phoneticPr fontId="22"/>
  </si>
  <si>
    <r>
      <t>WACCは、加重平均資本コスト（</t>
    </r>
    <r>
      <rPr>
        <b/>
        <u/>
        <sz val="14"/>
        <color theme="1"/>
        <rFont val="Meiryo UI"/>
        <family val="3"/>
        <charset val="128"/>
      </rPr>
      <t>W</t>
    </r>
    <r>
      <rPr>
        <sz val="14"/>
        <color theme="1"/>
        <rFont val="Meiryo UI"/>
        <family val="3"/>
        <charset val="128"/>
      </rPr>
      <t xml:space="preserve">eighted </t>
    </r>
    <r>
      <rPr>
        <b/>
        <u/>
        <sz val="14"/>
        <color theme="1"/>
        <rFont val="Meiryo UI"/>
        <family val="3"/>
        <charset val="128"/>
      </rPr>
      <t>A</t>
    </r>
    <r>
      <rPr>
        <sz val="14"/>
        <color theme="1"/>
        <rFont val="Meiryo UI"/>
        <family val="3"/>
        <charset val="128"/>
      </rPr>
      <t xml:space="preserve">verage </t>
    </r>
    <r>
      <rPr>
        <b/>
        <u/>
        <sz val="14"/>
        <color theme="1"/>
        <rFont val="Meiryo UI"/>
        <family val="3"/>
        <charset val="128"/>
      </rPr>
      <t>C</t>
    </r>
    <r>
      <rPr>
        <sz val="14"/>
        <color theme="1"/>
        <rFont val="Meiryo UI"/>
        <family val="3"/>
        <charset val="128"/>
      </rPr>
      <t xml:space="preserve">ost of </t>
    </r>
    <r>
      <rPr>
        <b/>
        <u/>
        <sz val="14"/>
        <color theme="1"/>
        <rFont val="Meiryo UI"/>
        <family val="3"/>
        <charset val="128"/>
      </rPr>
      <t>C</t>
    </r>
    <r>
      <rPr>
        <sz val="14"/>
        <color theme="1"/>
        <rFont val="Meiryo UI"/>
        <family val="3"/>
        <charset val="128"/>
      </rPr>
      <t>apital）と言い、投資家の期待収益率（資本コスト）のこと。資本コストは、①株式調達にかかるコスト（株主資本コスト）と②借入にかかるコスト（負債コスト）を加重平均したもの。</t>
    </r>
    <rPh sb="6" eb="10">
      <t>カジュウヘイキン</t>
    </rPh>
    <rPh sb="10" eb="12">
      <t>シホン</t>
    </rPh>
    <rPh sb="50" eb="51">
      <t>イ</t>
    </rPh>
    <rPh sb="53" eb="56">
      <t>トウシカ</t>
    </rPh>
    <rPh sb="57" eb="62">
      <t>キタイシュウエキリツ</t>
    </rPh>
    <rPh sb="63" eb="65">
      <t>シホン</t>
    </rPh>
    <rPh sb="73" eb="75">
      <t>シホン</t>
    </rPh>
    <rPh sb="93" eb="97">
      <t>カブヌシシホン</t>
    </rPh>
    <rPh sb="103" eb="105">
      <t>カリイレ</t>
    </rPh>
    <rPh sb="113" eb="115">
      <t>フサイ</t>
    </rPh>
    <rPh sb="120" eb="124">
      <t>カジュウヘイキン</t>
    </rPh>
    <phoneticPr fontId="22"/>
  </si>
  <si>
    <t>【計算式】</t>
    <rPh sb="1" eb="4">
      <t>ケイサンシキ</t>
    </rPh>
    <phoneticPr fontId="22"/>
  </si>
  <si>
    <t>単位：百万円</t>
    <rPh sb="0" eb="2">
      <t>タンイ</t>
    </rPh>
    <rPh sb="3" eb="6">
      <t>ヒャクマンエン</t>
    </rPh>
    <phoneticPr fontId="22"/>
  </si>
  <si>
    <r>
      <t>WACC = [ K</t>
    </r>
    <r>
      <rPr>
        <b/>
        <vertAlign val="subscript"/>
        <sz val="14"/>
        <rFont val="Meiryo UI"/>
        <family val="3"/>
        <charset val="128"/>
      </rPr>
      <t xml:space="preserve">e </t>
    </r>
    <r>
      <rPr>
        <b/>
        <sz val="14"/>
        <rFont val="Meiryo UI"/>
        <family val="3"/>
        <charset val="128"/>
      </rPr>
      <t>× E / (D + E)] + [K</t>
    </r>
    <r>
      <rPr>
        <b/>
        <vertAlign val="subscript"/>
        <sz val="14"/>
        <rFont val="Meiryo UI"/>
        <family val="3"/>
        <charset val="128"/>
      </rPr>
      <t xml:space="preserve">d </t>
    </r>
    <r>
      <rPr>
        <b/>
        <sz val="14"/>
        <rFont val="Meiryo UI"/>
        <family val="3"/>
        <charset val="128"/>
      </rPr>
      <t>× (1-T) × D / (D + E)]</t>
    </r>
    <phoneticPr fontId="22"/>
  </si>
  <si>
    <t>上場類似会社</t>
    <rPh sb="0" eb="2">
      <t>ジョウジョウ</t>
    </rPh>
    <rPh sb="2" eb="6">
      <t>ルイジカイシャ</t>
    </rPh>
    <phoneticPr fontId="22"/>
  </si>
  <si>
    <t>コード</t>
    <phoneticPr fontId="2"/>
  </si>
  <si>
    <t>純有利子負債(D)</t>
    <rPh sb="0" eb="6">
      <t>ジュンユウリシフサイ</t>
    </rPh>
    <phoneticPr fontId="22"/>
  </si>
  <si>
    <t>時価総額(E)</t>
    <rPh sb="0" eb="4">
      <t>ジカソウガク</t>
    </rPh>
    <phoneticPr fontId="22"/>
  </si>
  <si>
    <t xml:space="preserve">D/E </t>
    <phoneticPr fontId="22"/>
  </si>
  <si>
    <r>
      <t>β</t>
    </r>
    <r>
      <rPr>
        <b/>
        <vertAlign val="subscript"/>
        <sz val="14"/>
        <color theme="1"/>
        <rFont val="Meiryo UI"/>
        <family val="3"/>
        <charset val="128"/>
      </rPr>
      <t>L</t>
    </r>
    <phoneticPr fontId="22"/>
  </si>
  <si>
    <r>
      <t>β</t>
    </r>
    <r>
      <rPr>
        <b/>
        <vertAlign val="subscript"/>
        <sz val="14"/>
        <color theme="1"/>
        <rFont val="Meiryo UI"/>
        <family val="3"/>
        <charset val="128"/>
      </rPr>
      <t>U</t>
    </r>
    <phoneticPr fontId="22"/>
  </si>
  <si>
    <r>
      <t>決定係数(β</t>
    </r>
    <r>
      <rPr>
        <b/>
        <vertAlign val="subscript"/>
        <sz val="14"/>
        <color theme="1"/>
        <rFont val="Meiryo UI"/>
        <family val="3"/>
        <charset val="128"/>
      </rPr>
      <t>L</t>
    </r>
    <r>
      <rPr>
        <b/>
        <sz val="14"/>
        <color theme="1"/>
        <rFont val="Meiryo UI"/>
        <family val="3"/>
        <charset val="128"/>
      </rPr>
      <t>)</t>
    </r>
    <rPh sb="0" eb="4">
      <t>ケッテイケイスウ</t>
    </rPh>
    <phoneticPr fontId="22"/>
  </si>
  <si>
    <r>
      <t>株主資本コスト（K</t>
    </r>
    <r>
      <rPr>
        <b/>
        <vertAlign val="subscript"/>
        <sz val="14"/>
        <color theme="1"/>
        <rFont val="Meiryo UI"/>
        <family val="3"/>
        <charset val="128"/>
      </rPr>
      <t>e</t>
    </r>
    <r>
      <rPr>
        <b/>
        <sz val="14"/>
        <color theme="1"/>
        <rFont val="Meiryo UI"/>
        <family val="3"/>
        <charset val="128"/>
      </rPr>
      <t>）の算出：</t>
    </r>
    <rPh sb="0" eb="4">
      <t>カブヌシシホン</t>
    </rPh>
    <rPh sb="12" eb="14">
      <t>サンシュツ</t>
    </rPh>
    <phoneticPr fontId="22"/>
  </si>
  <si>
    <t>①</t>
    <phoneticPr fontId="22"/>
  </si>
  <si>
    <t>（1）</t>
    <phoneticPr fontId="22"/>
  </si>
  <si>
    <r>
      <t>K</t>
    </r>
    <r>
      <rPr>
        <b/>
        <vertAlign val="subscript"/>
        <sz val="14"/>
        <color theme="1"/>
        <rFont val="Meiryo UI"/>
        <family val="3"/>
        <charset val="128"/>
      </rPr>
      <t>e</t>
    </r>
    <r>
      <rPr>
        <b/>
        <sz val="14"/>
        <color theme="1"/>
        <rFont val="Meiryo UI"/>
        <family val="3"/>
        <charset val="128"/>
      </rPr>
      <t xml:space="preserve"> = R</t>
    </r>
    <r>
      <rPr>
        <b/>
        <vertAlign val="subscript"/>
        <sz val="14"/>
        <color theme="1"/>
        <rFont val="Meiryo UI"/>
        <family val="3"/>
        <charset val="128"/>
      </rPr>
      <t>f</t>
    </r>
    <r>
      <rPr>
        <b/>
        <sz val="14"/>
        <color theme="1"/>
        <rFont val="Meiryo UI"/>
        <family val="3"/>
        <charset val="128"/>
      </rPr>
      <t xml:space="preserve"> + (β</t>
    </r>
    <r>
      <rPr>
        <b/>
        <vertAlign val="subscript"/>
        <sz val="14"/>
        <color theme="1"/>
        <rFont val="Meiryo UI"/>
        <family val="3"/>
        <charset val="128"/>
      </rPr>
      <t>L</t>
    </r>
    <r>
      <rPr>
        <b/>
        <sz val="14"/>
        <color theme="1"/>
        <rFont val="Meiryo UI"/>
        <family val="3"/>
        <charset val="128"/>
      </rPr>
      <t xml:space="preserve"> × R</t>
    </r>
    <r>
      <rPr>
        <b/>
        <vertAlign val="subscript"/>
        <sz val="14"/>
        <color theme="1"/>
        <rFont val="Meiryo UI"/>
        <family val="3"/>
        <charset val="128"/>
      </rPr>
      <t>e</t>
    </r>
    <r>
      <rPr>
        <b/>
        <sz val="14"/>
        <color theme="1"/>
        <rFont val="Meiryo UI"/>
        <family val="3"/>
        <charset val="128"/>
      </rPr>
      <t>) + R</t>
    </r>
    <r>
      <rPr>
        <b/>
        <vertAlign val="subscript"/>
        <sz val="14"/>
        <color theme="1"/>
        <rFont val="Meiryo UI"/>
        <family val="3"/>
        <charset val="128"/>
      </rPr>
      <t>s</t>
    </r>
    <phoneticPr fontId="22"/>
  </si>
  <si>
    <r>
      <t>R</t>
    </r>
    <r>
      <rPr>
        <b/>
        <vertAlign val="subscript"/>
        <sz val="14"/>
        <color theme="1"/>
        <rFont val="Meiryo UI"/>
        <family val="3"/>
        <charset val="128"/>
      </rPr>
      <t>f</t>
    </r>
    <r>
      <rPr>
        <b/>
        <sz val="14"/>
        <color theme="1"/>
        <rFont val="Meiryo UI"/>
        <family val="3"/>
        <charset val="128"/>
      </rPr>
      <t>：リスクフリーレート</t>
    </r>
    <phoneticPr fontId="22"/>
  </si>
  <si>
    <r>
      <t>β</t>
    </r>
    <r>
      <rPr>
        <b/>
        <vertAlign val="subscript"/>
        <sz val="14"/>
        <color theme="1"/>
        <rFont val="Meiryo UI"/>
        <family val="3"/>
        <charset val="128"/>
      </rPr>
      <t>L</t>
    </r>
    <r>
      <rPr>
        <b/>
        <sz val="14"/>
        <color theme="1"/>
        <rFont val="Meiryo UI"/>
        <family val="3"/>
        <charset val="128"/>
      </rPr>
      <t>：レバードベータ</t>
    </r>
    <phoneticPr fontId="22"/>
  </si>
  <si>
    <t>上場類似会社をもとに算出（右記参照）</t>
    <rPh sb="0" eb="2">
      <t>ジョウジョウ</t>
    </rPh>
    <rPh sb="2" eb="6">
      <t>ルイジカイシャ</t>
    </rPh>
    <rPh sb="10" eb="12">
      <t>サンシュツ</t>
    </rPh>
    <rPh sb="13" eb="17">
      <t>ウキサンショウ</t>
    </rPh>
    <phoneticPr fontId="22"/>
  </si>
  <si>
    <r>
      <t>R</t>
    </r>
    <r>
      <rPr>
        <b/>
        <vertAlign val="subscript"/>
        <sz val="14"/>
        <color theme="1"/>
        <rFont val="Meiryo UI"/>
        <family val="3"/>
        <charset val="128"/>
      </rPr>
      <t>e</t>
    </r>
    <r>
      <rPr>
        <b/>
        <sz val="14"/>
        <color theme="1"/>
        <rFont val="Meiryo UI"/>
        <family val="3"/>
        <charset val="128"/>
      </rPr>
      <t>：エクイティリスクプレミアム</t>
    </r>
    <phoneticPr fontId="22"/>
  </si>
  <si>
    <t>Damodaran教授の算出データを参照</t>
    <rPh sb="9" eb="11">
      <t>キョウジュ</t>
    </rPh>
    <rPh sb="12" eb="14">
      <t>サンシュツ</t>
    </rPh>
    <rPh sb="18" eb="20">
      <t>サンショウ</t>
    </rPh>
    <phoneticPr fontId="22"/>
  </si>
  <si>
    <t>Rs：サイズリスクプレミアム</t>
    <phoneticPr fontId="22"/>
  </si>
  <si>
    <t>Ibbotsonレポートより</t>
    <phoneticPr fontId="22"/>
  </si>
  <si>
    <r>
      <t>借入コスト（K</t>
    </r>
    <r>
      <rPr>
        <b/>
        <vertAlign val="subscript"/>
        <sz val="14"/>
        <color theme="1"/>
        <rFont val="Meiryo UI"/>
        <family val="3"/>
        <charset val="128"/>
      </rPr>
      <t>d</t>
    </r>
    <r>
      <rPr>
        <b/>
        <sz val="14"/>
        <color theme="1"/>
        <rFont val="Meiryo UI"/>
        <family val="3"/>
        <charset val="128"/>
      </rPr>
      <t>）の算出：</t>
    </r>
    <rPh sb="0" eb="1">
      <t>カ</t>
    </rPh>
    <rPh sb="1" eb="2">
      <t>イ</t>
    </rPh>
    <rPh sb="10" eb="12">
      <t>サンシュツ</t>
    </rPh>
    <phoneticPr fontId="22"/>
  </si>
  <si>
    <t>②</t>
    <phoneticPr fontId="22"/>
  </si>
  <si>
    <t>D/E Ratioの算出：</t>
    <rPh sb="10" eb="12">
      <t>サンシュツ</t>
    </rPh>
    <phoneticPr fontId="22"/>
  </si>
  <si>
    <t>③</t>
    <phoneticPr fontId="22"/>
  </si>
  <si>
    <t>税率（T）：</t>
    <rPh sb="0" eb="2">
      <t>ゼイリツ</t>
    </rPh>
    <phoneticPr fontId="22"/>
  </si>
  <si>
    <t>④</t>
    <phoneticPr fontId="22"/>
  </si>
  <si>
    <t xml:space="preserve">WACC </t>
    <phoneticPr fontId="22"/>
  </si>
  <si>
    <t>注1.　1か月の月商分を事業用資金として勘案し、企業価値を算出。</t>
    <rPh sb="0" eb="1">
      <t>チュウ</t>
    </rPh>
    <rPh sb="6" eb="7">
      <t>ゲツ</t>
    </rPh>
    <rPh sb="8" eb="11">
      <t>ゲッショウブン</t>
    </rPh>
    <rPh sb="12" eb="15">
      <t>ジギョウヨウ</t>
    </rPh>
    <rPh sb="15" eb="17">
      <t>シキン</t>
    </rPh>
    <rPh sb="20" eb="22">
      <t>カンアン</t>
    </rPh>
    <rPh sb="24" eb="28">
      <t>キギョウカチ</t>
    </rPh>
    <rPh sb="29" eb="31">
      <t>サンシュツ</t>
    </rPh>
    <phoneticPr fontId="2"/>
  </si>
  <si>
    <t>上場類似会社の中央値（Median）</t>
    <rPh sb="0" eb="6">
      <t>ジョウジョウルイジカイシャ</t>
    </rPh>
    <rPh sb="7" eb="10">
      <t>チュウオウチ</t>
    </rPh>
    <phoneticPr fontId="22"/>
  </si>
  <si>
    <t>XXXX㈱</t>
    <phoneticPr fontId="2"/>
  </si>
  <si>
    <t>24/3-29/3</t>
    <phoneticPr fontId="2"/>
  </si>
  <si>
    <t>AAAA事業</t>
    <rPh sb="4" eb="6">
      <t>ジギョウ</t>
    </rPh>
    <phoneticPr fontId="2"/>
  </si>
  <si>
    <t>BBBB事業</t>
    <rPh sb="4" eb="6">
      <t>ジギョウ</t>
    </rPh>
    <phoneticPr fontId="2"/>
  </si>
  <si>
    <t>CCCC事業</t>
    <rPh sb="4" eb="6">
      <t>ジギョウ</t>
    </rPh>
    <phoneticPr fontId="2"/>
  </si>
  <si>
    <t>百万円</t>
    <rPh sb="0" eb="3">
      <t>ヒャクマンエン</t>
    </rPh>
    <phoneticPr fontId="2"/>
  </si>
  <si>
    <t>固定費</t>
  </si>
  <si>
    <t>固定費</t>
    <rPh sb="0" eb="3">
      <t>コテイヒ</t>
    </rPh>
    <phoneticPr fontId="2"/>
  </si>
  <si>
    <t>変動費</t>
  </si>
  <si>
    <t>変動費</t>
    <rPh sb="0" eb="3">
      <t>ヘンドウヒ</t>
    </rPh>
    <phoneticPr fontId="2"/>
  </si>
  <si>
    <t>利益率</t>
    <rPh sb="0" eb="3">
      <t>リエキリツ</t>
    </rPh>
    <phoneticPr fontId="2"/>
  </si>
  <si>
    <t>XXX収入</t>
    <rPh sb="3" eb="5">
      <t>シュウニュウ</t>
    </rPh>
    <phoneticPr fontId="2"/>
  </si>
  <si>
    <t>XXXX</t>
    <phoneticPr fontId="2"/>
  </si>
  <si>
    <t>YYYY</t>
    <phoneticPr fontId="2"/>
  </si>
  <si>
    <t>棚卸資産</t>
    <rPh sb="0" eb="2">
      <t>タナオロ</t>
    </rPh>
    <rPh sb="2" eb="4">
      <t>シサン</t>
    </rPh>
    <phoneticPr fontId="2"/>
  </si>
  <si>
    <t>建物</t>
    <rPh sb="0" eb="2">
      <t>タテモノ</t>
    </rPh>
    <phoneticPr fontId="2"/>
  </si>
  <si>
    <t>付属設備他</t>
    <rPh sb="0" eb="4">
      <t>フゾクセツビ</t>
    </rPh>
    <rPh sb="4" eb="5">
      <t>ホカ</t>
    </rPh>
    <phoneticPr fontId="2"/>
  </si>
  <si>
    <t>買掛金</t>
    <rPh sb="0" eb="3">
      <t>カイカケキン</t>
    </rPh>
    <phoneticPr fontId="2"/>
  </si>
  <si>
    <t>固定負債</t>
    <rPh sb="0" eb="4">
      <t>コテイフサイ</t>
    </rPh>
    <phoneticPr fontId="2"/>
  </si>
  <si>
    <t>長期借入金</t>
    <rPh sb="0" eb="5">
      <t>チョウキカリイレキン</t>
    </rPh>
    <phoneticPr fontId="2"/>
  </si>
  <si>
    <t>https://costofcapital.jp/beta/historicalbeta/</t>
    <phoneticPr fontId="2"/>
  </si>
  <si>
    <t>https://www.mof.go.jp/jgbs/individual/kojinmuke/shinmadohan/issue/ten/</t>
    <phoneticPr fontId="2"/>
  </si>
  <si>
    <t>https://pages.stern.nyu.edu/~adamodar/New_Home_Page/datafile/ctryprem.html</t>
    <phoneticPr fontId="22"/>
  </si>
  <si>
    <t>平均値</t>
    <rPh sb="0" eb="3">
      <t>ヘイキンチ</t>
    </rPh>
    <phoneticPr fontId="22"/>
  </si>
  <si>
    <t>中央値</t>
    <rPh sb="0" eb="3">
      <t>チュウオウチ</t>
    </rPh>
    <phoneticPr fontId="22"/>
  </si>
  <si>
    <t>AAAA</t>
    <phoneticPr fontId="2"/>
  </si>
  <si>
    <t>BBBB</t>
    <phoneticPr fontId="2"/>
  </si>
  <si>
    <t>CCCC</t>
    <phoneticPr fontId="2"/>
  </si>
  <si>
    <t>DDDD</t>
    <phoneticPr fontId="2"/>
  </si>
  <si>
    <t>EEEE</t>
    <phoneticPr fontId="2"/>
  </si>
  <si>
    <t>FFFF</t>
    <phoneticPr fontId="2"/>
  </si>
  <si>
    <t>GGGG</t>
    <phoneticPr fontId="2"/>
  </si>
  <si>
    <t>支払利息（将来予測or過去実績）※将来利息の方が望ましい。</t>
    <rPh sb="0" eb="2">
      <t>シハライ</t>
    </rPh>
    <rPh sb="2" eb="4">
      <t>リソク</t>
    </rPh>
    <rPh sb="5" eb="9">
      <t>ショウライヨソク</t>
    </rPh>
    <rPh sb="11" eb="15">
      <t>カコジッセキ</t>
    </rPh>
    <rPh sb="17" eb="21">
      <t>ショウライリソク</t>
    </rPh>
    <rPh sb="22" eb="23">
      <t>ホウ</t>
    </rPh>
    <rPh sb="24" eb="25">
      <t>ノゾ</t>
    </rPh>
    <phoneticPr fontId="2"/>
  </si>
  <si>
    <t>借入コスト</t>
    <rPh sb="0" eb="1">
      <t>カ</t>
    </rPh>
    <rPh sb="1" eb="2">
      <t>イ</t>
    </rPh>
    <phoneticPr fontId="2"/>
  </si>
  <si>
    <t>支払コスト</t>
    <rPh sb="0" eb="2">
      <t>シハライ</t>
    </rPh>
    <phoneticPr fontId="2"/>
  </si>
  <si>
    <t>-</t>
    <phoneticPr fontId="2"/>
  </si>
  <si>
    <t>過去の支払利息実績</t>
    <rPh sb="0" eb="2">
      <t>カコ</t>
    </rPh>
    <rPh sb="3" eb="5">
      <t>シハライ</t>
    </rPh>
    <rPh sb="5" eb="7">
      <t>リソク</t>
    </rPh>
    <rPh sb="7" eb="9">
      <t>ジッセキ</t>
    </rPh>
    <phoneticPr fontId="2"/>
  </si>
  <si>
    <t>対象会社の税率（東京都）</t>
    <rPh sb="0" eb="4">
      <t>タイショウカイシャ</t>
    </rPh>
    <rPh sb="5" eb="7">
      <t>ゼイリツ</t>
    </rPh>
    <rPh sb="8" eb="11">
      <t>トウキョウト</t>
    </rPh>
    <phoneticPr fontId="22"/>
  </si>
  <si>
    <t>マネジメントケース</t>
    <phoneticPr fontId="2"/>
  </si>
  <si>
    <t>アップサイドケース</t>
    <phoneticPr fontId="2"/>
  </si>
  <si>
    <t>ダウンサイドケース</t>
    <phoneticPr fontId="2"/>
  </si>
  <si>
    <t>補足説明</t>
    <rPh sb="0" eb="2">
      <t>ホソク</t>
    </rPh>
    <rPh sb="2" eb="4">
      <t>セツメイ</t>
    </rPh>
    <phoneticPr fontId="2"/>
  </si>
  <si>
    <t>Parameters</t>
    <phoneticPr fontId="2"/>
  </si>
  <si>
    <t>売り手から提示された事業計画の売上高を毎期1％減とする。</t>
    <rPh sb="0" eb="1">
      <t>ウ</t>
    </rPh>
    <rPh sb="2" eb="3">
      <t>テ</t>
    </rPh>
    <rPh sb="5" eb="7">
      <t>テイジ</t>
    </rPh>
    <rPh sb="10" eb="14">
      <t>ジギョウケイカク</t>
    </rPh>
    <rPh sb="15" eb="17">
      <t>ウリアゲ</t>
    </rPh>
    <rPh sb="17" eb="18">
      <t>ダカ</t>
    </rPh>
    <rPh sb="19" eb="21">
      <t>マイキ</t>
    </rPh>
    <rPh sb="23" eb="24">
      <t>ゲン</t>
    </rPh>
    <phoneticPr fontId="2"/>
  </si>
  <si>
    <t>売り手から提示された事業計画の売上高をそのまま採用</t>
    <rPh sb="0" eb="1">
      <t>ウ</t>
    </rPh>
    <rPh sb="2" eb="3">
      <t>テ</t>
    </rPh>
    <rPh sb="5" eb="7">
      <t>テイジ</t>
    </rPh>
    <rPh sb="10" eb="14">
      <t>ジギョウケイカク</t>
    </rPh>
    <rPh sb="15" eb="18">
      <t>ウリアゲダカ</t>
    </rPh>
    <rPh sb="23" eb="25">
      <t>サイヨウ</t>
    </rPh>
    <phoneticPr fontId="2"/>
  </si>
  <si>
    <t>売り手から提示された事業計画の売上高を毎期1％増とする。</t>
    <rPh sb="0" eb="1">
      <t>ウ</t>
    </rPh>
    <rPh sb="2" eb="3">
      <t>テ</t>
    </rPh>
    <rPh sb="5" eb="7">
      <t>テイジ</t>
    </rPh>
    <rPh sb="10" eb="14">
      <t>ジギョウケイカク</t>
    </rPh>
    <rPh sb="15" eb="17">
      <t>ウリアゲ</t>
    </rPh>
    <rPh sb="17" eb="18">
      <t>ダカ</t>
    </rPh>
    <rPh sb="19" eb="21">
      <t>マイキ</t>
    </rPh>
    <rPh sb="23" eb="24">
      <t>ゾウ</t>
    </rPh>
    <phoneticPr fontId="2"/>
  </si>
  <si>
    <t>売り手から提示された事業計画の売上高を毎期0.5％減とする。</t>
    <rPh sb="0" eb="1">
      <t>ウ</t>
    </rPh>
    <rPh sb="2" eb="3">
      <t>テ</t>
    </rPh>
    <rPh sb="5" eb="7">
      <t>テイジ</t>
    </rPh>
    <rPh sb="10" eb="14">
      <t>ジギョウケイカク</t>
    </rPh>
    <rPh sb="15" eb="17">
      <t>ウリアゲ</t>
    </rPh>
    <rPh sb="17" eb="18">
      <t>ダカ</t>
    </rPh>
    <rPh sb="19" eb="21">
      <t>マイキ</t>
    </rPh>
    <rPh sb="25" eb="26">
      <t>ゲン</t>
    </rPh>
    <phoneticPr fontId="2"/>
  </si>
  <si>
    <t>売り手から提示された事業計画の売上高を毎期0.5％増とする。</t>
    <rPh sb="0" eb="1">
      <t>ウ</t>
    </rPh>
    <rPh sb="2" eb="3">
      <t>テ</t>
    </rPh>
    <rPh sb="5" eb="7">
      <t>テイジ</t>
    </rPh>
    <rPh sb="10" eb="14">
      <t>ジギョウケイカク</t>
    </rPh>
    <rPh sb="15" eb="17">
      <t>ウリアゲ</t>
    </rPh>
    <rPh sb="17" eb="18">
      <t>ダカ</t>
    </rPh>
    <rPh sb="19" eb="21">
      <t>マイキ</t>
    </rPh>
    <rPh sb="25" eb="26">
      <t>ゾウ</t>
    </rPh>
    <phoneticPr fontId="2"/>
  </si>
  <si>
    <t>売り手から提示された事業計画の売上高を毎期1.5％減とする。</t>
    <rPh sb="0" eb="1">
      <t>ウ</t>
    </rPh>
    <rPh sb="2" eb="3">
      <t>テ</t>
    </rPh>
    <rPh sb="5" eb="7">
      <t>テイジ</t>
    </rPh>
    <rPh sb="10" eb="14">
      <t>ジギョウケイカク</t>
    </rPh>
    <rPh sb="15" eb="17">
      <t>ウリアゲ</t>
    </rPh>
    <rPh sb="17" eb="18">
      <t>ダカ</t>
    </rPh>
    <rPh sb="19" eb="21">
      <t>マイキ</t>
    </rPh>
    <rPh sb="25" eb="26">
      <t>ゲン</t>
    </rPh>
    <phoneticPr fontId="2"/>
  </si>
  <si>
    <t>売り手から提示された事業計画の売上高を毎期1.5％増とする。</t>
    <rPh sb="0" eb="1">
      <t>ウ</t>
    </rPh>
    <rPh sb="2" eb="3">
      <t>テ</t>
    </rPh>
    <rPh sb="5" eb="7">
      <t>テイジ</t>
    </rPh>
    <rPh sb="10" eb="14">
      <t>ジギョウケイカク</t>
    </rPh>
    <rPh sb="15" eb="17">
      <t>ウリアゲ</t>
    </rPh>
    <rPh sb="17" eb="18">
      <t>ダカ</t>
    </rPh>
    <rPh sb="19" eb="21">
      <t>マイキ</t>
    </rPh>
    <rPh sb="25" eb="26">
      <t>ゾウ</t>
    </rPh>
    <phoneticPr fontId="2"/>
  </si>
  <si>
    <t>リスト</t>
    <phoneticPr fontId="2"/>
  </si>
  <si>
    <t>各ケース売上高／マネジメントケース売上高</t>
    <rPh sb="0" eb="1">
      <t>カク</t>
    </rPh>
    <rPh sb="4" eb="7">
      <t>ウリアゲダカ</t>
    </rPh>
    <rPh sb="17" eb="20">
      <t>ウリアゲダカ</t>
    </rPh>
    <phoneticPr fontId="2"/>
  </si>
  <si>
    <t xml:space="preserve">類似会社平均（対象会社の目標D/E Ratioがあれば、採用可） </t>
    <rPh sb="7" eb="11">
      <t>タイショウカイシャ</t>
    </rPh>
    <rPh sb="12" eb="14">
      <t>モクヒョウ</t>
    </rPh>
    <rPh sb="28" eb="30">
      <t>サイヨウ</t>
    </rPh>
    <rPh sb="30" eb="31">
      <t>カ</t>
    </rPh>
    <phoneticPr fontId="22"/>
  </si>
  <si>
    <t>棚卸資産回転日数</t>
    <rPh sb="0" eb="2">
      <t>タナオロ</t>
    </rPh>
    <rPh sb="2" eb="4">
      <t>シサン</t>
    </rPh>
    <rPh sb="4" eb="8">
      <t>カイテンニッスウ</t>
    </rPh>
    <phoneticPr fontId="2"/>
  </si>
  <si>
    <t>買掛金回転日数</t>
    <rPh sb="0" eb="3">
      <t>カイカケキン</t>
    </rPh>
    <rPh sb="3" eb="7">
      <t>カイテンニッスウ</t>
    </rPh>
    <phoneticPr fontId="2"/>
  </si>
  <si>
    <t>設備投資</t>
    <rPh sb="0" eb="4">
      <t>セツビトウシ</t>
    </rPh>
    <phoneticPr fontId="2"/>
  </si>
  <si>
    <t>（内、減価償却費計）</t>
    <rPh sb="1" eb="2">
      <t>ウチ</t>
    </rPh>
    <rPh sb="3" eb="8">
      <t>ゲンカショウキャクヒ</t>
    </rPh>
    <rPh sb="8" eb="9">
      <t>ケイ</t>
    </rPh>
    <phoneticPr fontId="2"/>
  </si>
  <si>
    <t>Capex</t>
    <phoneticPr fontId="2"/>
  </si>
  <si>
    <t>メンテナンス費用</t>
    <rPh sb="6" eb="8">
      <t>ヒヨウ</t>
    </rPh>
    <phoneticPr fontId="2"/>
  </si>
  <si>
    <t>減価償却費</t>
    <rPh sb="0" eb="5">
      <t>ゲンカショウキャクヒ</t>
    </rPh>
    <phoneticPr fontId="2"/>
  </si>
  <si>
    <t>法人税相当額</t>
    <rPh sb="0" eb="3">
      <t>ホウジンゼイ</t>
    </rPh>
    <rPh sb="3" eb="5">
      <t>ソウトウ</t>
    </rPh>
    <rPh sb="5" eb="6">
      <t>ガク</t>
    </rPh>
    <phoneticPr fontId="2"/>
  </si>
  <si>
    <t>有利子負債</t>
    <rPh sb="0" eb="5">
      <t>ユウリシフサイ</t>
    </rPh>
    <phoneticPr fontId="2"/>
  </si>
  <si>
    <t>レンジ幅</t>
    <rPh sb="3" eb="4">
      <t>ハバ</t>
    </rPh>
    <phoneticPr fontId="2"/>
  </si>
  <si>
    <t>←値張り</t>
    <rPh sb="1" eb="3">
      <t>アタイバ</t>
    </rPh>
    <phoneticPr fontId="2"/>
  </si>
  <si>
    <t>EV/EBITDA</t>
    <phoneticPr fontId="2"/>
  </si>
  <si>
    <t>EV/EBITDA倍率</t>
    <rPh sb="9" eb="11">
      <t>バイリツ</t>
    </rPh>
    <phoneticPr fontId="2"/>
  </si>
  <si>
    <t>PER</t>
    <phoneticPr fontId="2"/>
  </si>
  <si>
    <t>株価：2024/●●/●●終値</t>
    <phoneticPr fontId="2"/>
  </si>
  <si>
    <t>株式価値の算定</t>
    <rPh sb="0" eb="4">
      <t>カブシキカチ</t>
    </rPh>
    <rPh sb="5" eb="7">
      <t>サンテイ</t>
    </rPh>
    <phoneticPr fontId="2"/>
  </si>
  <si>
    <t>現預金は事業用資金想定</t>
    <rPh sb="0" eb="3">
      <t>ゲンヨキン</t>
    </rPh>
    <rPh sb="4" eb="9">
      <t>ジギョウヨウシキン</t>
    </rPh>
    <rPh sb="9" eb="11">
      <t>ソウテイ</t>
    </rPh>
    <phoneticPr fontId="2"/>
  </si>
  <si>
    <t>XXX</t>
    <phoneticPr fontId="2"/>
  </si>
  <si>
    <t>YYY</t>
    <phoneticPr fontId="2"/>
  </si>
  <si>
    <t>被買収者</t>
    <rPh sb="0" eb="1">
      <t>ヒ</t>
    </rPh>
    <rPh sb="1" eb="4">
      <t>バイシュウシャ</t>
    </rPh>
    <phoneticPr fontId="2"/>
  </si>
  <si>
    <t>買い手</t>
    <rPh sb="0" eb="1">
      <t>カ</t>
    </rPh>
    <rPh sb="2" eb="3">
      <t>テ</t>
    </rPh>
    <phoneticPr fontId="2"/>
  </si>
  <si>
    <t>2023/XX/YY</t>
    <phoneticPr fontId="2"/>
  </si>
  <si>
    <t>2022/XX/YY</t>
    <phoneticPr fontId="2"/>
  </si>
  <si>
    <t>2021/XX/YY</t>
    <phoneticPr fontId="2"/>
  </si>
  <si>
    <t>2020/XX/YY</t>
  </si>
  <si>
    <t>2019/XX/YY</t>
  </si>
  <si>
    <t>2018/XX/YY</t>
  </si>
  <si>
    <t>2017/XX/YY</t>
  </si>
  <si>
    <t>2016/XX/YY</t>
  </si>
  <si>
    <t>2015/XX/YY</t>
  </si>
  <si>
    <t>2014/XX/YY</t>
  </si>
  <si>
    <t>AAA</t>
    <phoneticPr fontId="2"/>
  </si>
  <si>
    <t>BBB</t>
    <phoneticPr fontId="2"/>
  </si>
  <si>
    <t>CCC</t>
    <phoneticPr fontId="2"/>
  </si>
  <si>
    <t>DDD</t>
    <phoneticPr fontId="2"/>
  </si>
  <si>
    <t>EEE</t>
    <phoneticPr fontId="2"/>
  </si>
  <si>
    <t>FFF</t>
    <phoneticPr fontId="2"/>
  </si>
  <si>
    <t>GGG</t>
    <phoneticPr fontId="2"/>
  </si>
  <si>
    <t>HHH</t>
    <phoneticPr fontId="2"/>
  </si>
  <si>
    <t>III</t>
    <phoneticPr fontId="2"/>
  </si>
  <si>
    <t>JJJ</t>
    <phoneticPr fontId="2"/>
  </si>
  <si>
    <t>EV/EBITDA
（直前期）</t>
    <rPh sb="11" eb="14">
      <t>チョクゼンキ</t>
    </rPh>
    <phoneticPr fontId="2"/>
  </si>
  <si>
    <t>EV/EBITDA
（LTM）</t>
    <phoneticPr fontId="2"/>
  </si>
  <si>
    <t>Deal Value 
（百万円）</t>
    <rPh sb="13" eb="16">
      <t>ヒャクマンエン</t>
    </rPh>
    <phoneticPr fontId="2"/>
  </si>
  <si>
    <t>aaa</t>
    <phoneticPr fontId="2"/>
  </si>
  <si>
    <t>bbb</t>
    <phoneticPr fontId="2"/>
  </si>
  <si>
    <t>ccc</t>
    <phoneticPr fontId="2"/>
  </si>
  <si>
    <t>ddd</t>
    <phoneticPr fontId="2"/>
  </si>
  <si>
    <t>eee</t>
    <phoneticPr fontId="2"/>
  </si>
  <si>
    <t>fff</t>
    <phoneticPr fontId="2"/>
  </si>
  <si>
    <t>ggg</t>
    <phoneticPr fontId="2"/>
  </si>
  <si>
    <t>hhh</t>
    <phoneticPr fontId="2"/>
  </si>
  <si>
    <t>iii</t>
    <phoneticPr fontId="2"/>
  </si>
  <si>
    <t>jjj</t>
    <phoneticPr fontId="2"/>
  </si>
  <si>
    <t>EV/EBITDA（マルチプル法）で採用した、上場類似会社をもとに、β及びD/E Raioの算出を行う。
[5～10社程度類似企業を選定するのが理想的]</t>
    <rPh sb="15" eb="16">
      <t>ホウ</t>
    </rPh>
    <rPh sb="18" eb="20">
      <t>サイヨウ</t>
    </rPh>
    <rPh sb="23" eb="29">
      <t>ジョウジョウルイジカイシャ</t>
    </rPh>
    <rPh sb="35" eb="36">
      <t>オヨ</t>
    </rPh>
    <rPh sb="46" eb="48">
      <t>サンシュツ</t>
    </rPh>
    <rPh sb="49" eb="50">
      <t>オコナ</t>
    </rPh>
    <rPh sb="58" eb="59">
      <t>シャ</t>
    </rPh>
    <rPh sb="59" eb="61">
      <t>テイド</t>
    </rPh>
    <rPh sb="61" eb="65">
      <t>ルイジキギョウ</t>
    </rPh>
    <rPh sb="66" eb="68">
      <t>センテイ</t>
    </rPh>
    <rPh sb="72" eb="75">
      <t>リソウテキ</t>
    </rPh>
    <phoneticPr fontId="22"/>
  </si>
  <si>
    <t>少数株主持分</t>
    <rPh sb="0" eb="6">
      <t>ショウスウカブヌシモチブン</t>
    </rPh>
    <phoneticPr fontId="2"/>
  </si>
  <si>
    <t>優先株式</t>
    <rPh sb="0" eb="4">
      <t>ユウセンカブシキ</t>
    </rPh>
    <phoneticPr fontId="2"/>
  </si>
  <si>
    <t>純資産</t>
    <rPh sb="0" eb="3">
      <t>ジュンシサン</t>
    </rPh>
    <phoneticPr fontId="2"/>
  </si>
  <si>
    <t>注3.　類似企業のEV/EBITDAにバラツキがあるため、中央値（Median）を採用。</t>
    <rPh sb="0" eb="1">
      <t>チュウ</t>
    </rPh>
    <rPh sb="4" eb="8">
      <t>ルイジキギョウ</t>
    </rPh>
    <rPh sb="29" eb="32">
      <t>チュウオウチ</t>
    </rPh>
    <rPh sb="41" eb="43">
      <t>サイヨウ</t>
    </rPh>
    <phoneticPr fontId="2"/>
  </si>
  <si>
    <t>注2.　上記類似企業の財務数値は、連結ベース（連結がない場合、単体数値）</t>
    <rPh sb="0" eb="1">
      <t>チュウ</t>
    </rPh>
    <rPh sb="4" eb="6">
      <t>ジョウキ</t>
    </rPh>
    <rPh sb="6" eb="8">
      <t>ルイジ</t>
    </rPh>
    <rPh sb="8" eb="10">
      <t>キギョウ</t>
    </rPh>
    <rPh sb="11" eb="13">
      <t>ザイム</t>
    </rPh>
    <rPh sb="13" eb="15">
      <t>スウチ</t>
    </rPh>
    <rPh sb="17" eb="19">
      <t>レンケツ</t>
    </rPh>
    <rPh sb="23" eb="25">
      <t>レンケツ</t>
    </rPh>
    <rPh sb="28" eb="30">
      <t>バアイ</t>
    </rPh>
    <rPh sb="31" eb="33">
      <t>タンタイ</t>
    </rPh>
    <rPh sb="33" eb="35">
      <t>スウチ</t>
    </rPh>
    <phoneticPr fontId="2"/>
  </si>
  <si>
    <t>PBR</t>
    <phoneticPr fontId="2"/>
  </si>
  <si>
    <t>企業価値</t>
    <rPh sb="0" eb="4">
      <t>キギョウカチ</t>
    </rPh>
    <phoneticPr fontId="2"/>
  </si>
  <si>
    <t>株式価値</t>
    <rPh sb="0" eb="4">
      <t>カブシキカチ</t>
    </rPh>
    <phoneticPr fontId="2"/>
  </si>
  <si>
    <t>Mid</t>
    <phoneticPr fontId="2"/>
  </si>
  <si>
    <t>DCF法</t>
    <rPh sb="3" eb="4">
      <t>ホウ</t>
    </rPh>
    <phoneticPr fontId="2"/>
  </si>
  <si>
    <t>単位：</t>
    <rPh sb="0" eb="2">
      <t>タンイ</t>
    </rPh>
    <phoneticPr fontId="2"/>
  </si>
  <si>
    <t>百万円</t>
    <rPh sb="0" eb="3">
      <t>ヒャクマンエン</t>
    </rPh>
    <phoneticPr fontId="2"/>
  </si>
  <si>
    <t>EV/EBITDA（今期）</t>
    <rPh sb="10" eb="12">
      <t>コンキ</t>
    </rPh>
    <phoneticPr fontId="2"/>
  </si>
  <si>
    <t>EV/EBITDA（来期）</t>
    <rPh sb="10" eb="12">
      <t>ライキ</t>
    </rPh>
    <phoneticPr fontId="2"/>
  </si>
  <si>
    <t>PER（今期）</t>
    <rPh sb="4" eb="6">
      <t>コンキ</t>
    </rPh>
    <phoneticPr fontId="2"/>
  </si>
  <si>
    <t>PER（来期）</t>
    <rPh sb="4" eb="6">
      <t>ライキ</t>
    </rPh>
    <phoneticPr fontId="2"/>
  </si>
  <si>
    <t>PBR（LTM）</t>
    <phoneticPr fontId="2"/>
  </si>
  <si>
    <t>Benchmark</t>
    <phoneticPr fontId="2"/>
  </si>
  <si>
    <t>のれん償却費</t>
    <rPh sb="3" eb="6">
      <t>ショウキャクヒ</t>
    </rPh>
    <phoneticPr fontId="2"/>
  </si>
  <si>
    <t>Multiple</t>
    <phoneticPr fontId="2"/>
  </si>
  <si>
    <t>-</t>
    <phoneticPr fontId="2"/>
  </si>
  <si>
    <t>調整</t>
    <rPh sb="0" eb="2">
      <t>チョウセイ</t>
    </rPh>
    <phoneticPr fontId="2"/>
  </si>
  <si>
    <t>レンジ幅</t>
    <rPh sb="3" eb="4">
      <t>ハバ</t>
    </rPh>
    <phoneticPr fontId="2"/>
  </si>
  <si>
    <t>算定手法</t>
    <rPh sb="0" eb="4">
      <t>サンテイシュホウ</t>
    </rPh>
    <phoneticPr fontId="2"/>
  </si>
  <si>
    <t>Valuation Summary</t>
    <phoneticPr fontId="2"/>
  </si>
  <si>
    <t>1.情報の正確性について</t>
  </si>
  <si>
    <t>2.損害等の責任について</t>
  </si>
  <si>
    <t>3.著作権・肖像権等について</t>
  </si>
  <si>
    <t>4.無断転載の禁止</t>
  </si>
  <si>
    <t>5.機器のトラブル・メンテナンス</t>
  </si>
  <si>
    <t>当Valuation Sheetのご利用にあたって</t>
    <rPh sb="18" eb="20">
      <t>リヨウ</t>
    </rPh>
    <phoneticPr fontId="2"/>
  </si>
  <si>
    <t>当Valuation Sheetは、情報を正確に提供するための努力をしておりますが、提供される情報の正確性や完全性を保証するものではありません。ユーザーが当Valuation Sheetの情報を元に取った行動の結果について、弊社は一切の責任を負いません。</t>
    <rPh sb="112" eb="114">
      <t>ヘイシャ</t>
    </rPh>
    <phoneticPr fontId="2"/>
  </si>
  <si>
    <t>当Valuation Sheetの利用に関連して発生した損害について、弊社は何らの責任も負いません。</t>
    <rPh sb="35" eb="37">
      <t>ヘイシャ</t>
    </rPh>
    <phoneticPr fontId="2"/>
  </si>
  <si>
    <t>当Valuation Sheetのファイルに関する著作権等は、当サイトまたはその権利所有者に帰属します。ユーザーは、これらの権利を尊重し、無断で営利目的のための利用や転載を行わないようお願いします。</t>
    <rPh sb="72" eb="76">
      <t>エイリモクテキ</t>
    </rPh>
    <phoneticPr fontId="2"/>
  </si>
  <si>
    <t>当Valuation Sheetの内容、情報、画像等の営利目的での無断での複製、転載、配布は固く禁止します。これに違反した場合、法的措置を取ることがあります。</t>
    <rPh sb="27" eb="31">
      <t>エイリモクテキ</t>
    </rPh>
    <phoneticPr fontId="2"/>
  </si>
  <si>
    <t>ユーザーが当Valuation Sheetを利用する際に使用する機器のトラブルやメンテナンスに関して、当サイトは一切の責任を負いません。ユーザーは自身の機器の管理と維持を適切に行ってください。</t>
    <rPh sb="5" eb="6">
      <t>トウ</t>
    </rPh>
    <phoneticPr fontId="2"/>
  </si>
  <si>
    <t>MKA Advisors株式会社</t>
    <rPh sb="12" eb="16">
      <t>カブシキカイシャ</t>
    </rPh>
    <phoneticPr fontId="2"/>
  </si>
  <si>
    <t>〒150-0002</t>
    <phoneticPr fontId="2"/>
  </si>
  <si>
    <t xml:space="preserve">
東京都渋谷区渋谷2-19-15宮益坂ビルディング609</t>
    <phoneticPr fontId="2"/>
  </si>
  <si>
    <t>℡: 03-6363-3867</t>
    <phoneticPr fontId="2"/>
  </si>
  <si>
    <t>info@mka-advisors.com</t>
    <phoneticPr fontId="2"/>
  </si>
  <si>
    <t xml:space="preserve"> ①/(③+1)+ ②×(1-④)×③/(③+1)</t>
    <phoneticPr fontId="22"/>
  </si>
  <si>
    <t>なお、記載されている数値は、全てダミーとなっています。</t>
    <rPh sb="3" eb="5">
      <t>キサイ</t>
    </rPh>
    <rPh sb="10" eb="12">
      <t>スウチ</t>
    </rPh>
    <rPh sb="14" eb="15">
      <t>スベ</t>
    </rPh>
    <phoneticPr fontId="2"/>
  </si>
  <si>
    <t>※数値は全てダミー</t>
    <rPh sb="1" eb="3">
      <t>スウチ</t>
    </rPh>
    <rPh sb="4" eb="5">
      <t>スベ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</si>
</sst>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176" formatCode="0.0%"/>
    <numFmt numFmtId="177" formatCode="#&quot;/8期&quot;"/>
    <numFmt numFmtId="178" formatCode="0.0\x"/>
    <numFmt numFmtId="179" formatCode="##.#\x"/>
    <numFmt numFmtId="180" formatCode="0.0"/>
    <numFmt numFmtId="181" formatCode="&quot;実効税率&quot;##.#0%"/>
    <numFmt numFmtId="182" formatCode="0.000%"/>
    <numFmt numFmtId="183" formatCode="#,##0.000;[Red]\-#,##0.000"/>
    <numFmt numFmtId="184" formatCode="#&quot;/3期&quot;"/>
    <numFmt numFmtId="185" formatCode="#&quot;/3期1H&quot;"/>
    <numFmt numFmtId="186" formatCode="#&quot;/3期2H&quot;"/>
    <numFmt numFmtId="187" formatCode="&quot;法人税等&quot;##.##%"/>
    <numFmt numFmtId="188" formatCode="0.000"/>
    <numFmt numFmtId="189" formatCode="&quot;固定費(+&quot;#.0%&quot; Base-up)&quot;"/>
    <numFmt numFmtId="190" formatCode="#,###.0\x"/>
    <numFmt numFmtId="191" formatCode="0.00\x"/>
  </numFmts>
  <fonts count="46" x14ac:knownFonts="1">
    <font>
      <sz val="10"/>
      <name val="ＭＳ Ｐゴシック"/>
      <family val="2"/>
    </font>
    <font>
      <sz val="10"/>
      <name val="ＭＳ Ｐゴシック"/>
      <family val="2"/>
    </font>
    <font>
      <sz val="6"/>
      <name val="ＭＳ Ｐゴシック"/>
      <family val="3"/>
      <charset val="128"/>
    </font>
    <font>
      <sz val="10"/>
      <name val="Arial"/>
      <family val="2"/>
    </font>
    <font>
      <b/>
      <u val="singleAccounting"/>
      <sz val="8"/>
      <color indexed="8"/>
      <name val="Arial"/>
      <family val="2"/>
    </font>
    <font>
      <sz val="8"/>
      <color indexed="8"/>
      <name val="Arial"/>
      <family val="2"/>
    </font>
    <font>
      <sz val="1"/>
      <color indexed="9"/>
      <name val="Symbol"/>
      <family val="1"/>
      <charset val="2"/>
    </font>
    <font>
      <sz val="10"/>
      <name val="Meiryo UI"/>
      <family val="3"/>
      <charset val="128"/>
    </font>
    <font>
      <sz val="10"/>
      <color theme="0"/>
      <name val="Meiryo UI"/>
      <family val="3"/>
      <charset val="128"/>
    </font>
    <font>
      <sz val="10"/>
      <color rgb="FF00B0F0"/>
      <name val="Meiryo UI"/>
      <family val="3"/>
      <charset val="128"/>
    </font>
    <font>
      <b/>
      <sz val="12"/>
      <color theme="0"/>
      <name val="Meiryo UI"/>
      <family val="3"/>
      <charset val="128"/>
    </font>
    <font>
      <sz val="12"/>
      <name val="Meiryo UI"/>
      <family val="3"/>
      <charset val="128"/>
    </font>
    <font>
      <sz val="12"/>
      <color theme="0"/>
      <name val="Meiryo UI"/>
      <family val="3"/>
      <charset val="128"/>
    </font>
    <font>
      <sz val="12"/>
      <color theme="0" tint="-0.34998626667073579"/>
      <name val="Meiryo UI"/>
      <family val="3"/>
      <charset val="128"/>
    </font>
    <font>
      <sz val="12"/>
      <color theme="0" tint="-0.249977111117893"/>
      <name val="Meiryo UI"/>
      <family val="3"/>
      <charset val="128"/>
    </font>
    <font>
      <b/>
      <sz val="12"/>
      <name val="Meiryo UI"/>
      <family val="3"/>
      <charset val="128"/>
    </font>
    <font>
      <sz val="11"/>
      <color theme="0"/>
      <name val="Meiryo UI"/>
      <family val="3"/>
      <charset val="128"/>
    </font>
    <font>
      <i/>
      <sz val="10"/>
      <name val="Meiryo UI"/>
      <family val="3"/>
      <charset val="128"/>
    </font>
    <font>
      <sz val="11"/>
      <color theme="1"/>
      <name val="ＭＳ Ｐゴシック"/>
      <family val="2"/>
      <scheme val="minor"/>
    </font>
    <font>
      <u/>
      <sz val="11"/>
      <color theme="10"/>
      <name val="ＭＳ Ｐゴシック"/>
      <family val="2"/>
      <scheme val="minor"/>
    </font>
    <font>
      <u/>
      <sz val="10"/>
      <color theme="10"/>
      <name val="ＭＳ Ｐゴシック"/>
      <family val="2"/>
    </font>
    <font>
      <b/>
      <sz val="12"/>
      <color theme="1"/>
      <name val="Meiryo UI"/>
      <family val="3"/>
      <charset val="128"/>
    </font>
    <font>
      <sz val="6"/>
      <name val="ＭＳ Ｐゴシック"/>
      <family val="3"/>
      <charset val="128"/>
      <scheme val="minor"/>
    </font>
    <font>
      <b/>
      <sz val="11"/>
      <color theme="1"/>
      <name val="Meiryo UI"/>
      <family val="3"/>
      <charset val="128"/>
    </font>
    <font>
      <sz val="12"/>
      <color theme="1"/>
      <name val="Meiryo UI"/>
      <family val="3"/>
      <charset val="128"/>
    </font>
    <font>
      <sz val="11"/>
      <color theme="1"/>
      <name val="Meiryo UI"/>
      <family val="3"/>
      <charset val="128"/>
    </font>
    <font>
      <b/>
      <sz val="14"/>
      <color theme="0"/>
      <name val="Meiryo UI"/>
      <family val="3"/>
      <charset val="128"/>
    </font>
    <font>
      <sz val="14"/>
      <color theme="0"/>
      <name val="Meiryo UI"/>
      <family val="3"/>
      <charset val="128"/>
    </font>
    <font>
      <sz val="14"/>
      <color theme="1"/>
      <name val="Meiryo UI"/>
      <family val="3"/>
      <charset val="128"/>
    </font>
    <font>
      <b/>
      <u/>
      <sz val="14"/>
      <color theme="1"/>
      <name val="Meiryo UI"/>
      <family val="3"/>
      <charset val="128"/>
    </font>
    <font>
      <b/>
      <sz val="14"/>
      <color theme="1"/>
      <name val="Meiryo UI"/>
      <family val="3"/>
      <charset val="128"/>
    </font>
    <font>
      <b/>
      <sz val="14"/>
      <name val="Meiryo UI"/>
      <family val="3"/>
      <charset val="128"/>
    </font>
    <font>
      <b/>
      <vertAlign val="subscript"/>
      <sz val="14"/>
      <name val="Meiryo UI"/>
      <family val="3"/>
      <charset val="128"/>
    </font>
    <font>
      <b/>
      <vertAlign val="subscript"/>
      <sz val="14"/>
      <color theme="1"/>
      <name val="Meiryo UI"/>
      <family val="3"/>
      <charset val="128"/>
    </font>
    <font>
      <i/>
      <sz val="10"/>
      <color theme="0" tint="-0.499984740745262"/>
      <name val="Meiryo UI"/>
      <family val="3"/>
      <charset val="128"/>
    </font>
    <font>
      <u/>
      <sz val="10"/>
      <color theme="10"/>
      <name val="Meiryo UI"/>
      <family val="3"/>
      <charset val="128"/>
    </font>
    <font>
      <u/>
      <sz val="14"/>
      <color theme="10"/>
      <name val="Meiryo UI"/>
      <family val="3"/>
      <charset val="128"/>
    </font>
    <font>
      <b/>
      <sz val="12"/>
      <color rgb="FF00B0F0"/>
      <name val="Meiryo UI"/>
      <family val="3"/>
      <charset val="128"/>
    </font>
    <font>
      <sz val="14"/>
      <color rgb="FF00B0F0"/>
      <name val="Meiryo UI"/>
      <family val="3"/>
      <charset val="128"/>
    </font>
    <font>
      <b/>
      <sz val="10"/>
      <color rgb="FF00B0F0"/>
      <name val="Meiryo UI"/>
      <family val="3"/>
      <charset val="128"/>
    </font>
    <font>
      <b/>
      <sz val="10"/>
      <name val="Meiryo UI"/>
      <family val="3"/>
      <charset val="128"/>
    </font>
    <font>
      <sz val="10"/>
      <color theme="0" tint="-0.499984740745262"/>
      <name val="Meiryo UI"/>
      <family val="3"/>
      <charset val="128"/>
    </font>
    <font>
      <sz val="11"/>
      <name val="Meiryo UI"/>
      <family val="3"/>
      <charset val="128"/>
    </font>
    <font>
      <b/>
      <sz val="11"/>
      <name val="Meiryo UI"/>
      <family val="3"/>
      <charset val="128"/>
    </font>
    <font>
      <sz val="12"/>
      <color rgb="FF00B0F0"/>
      <name val="Meiryo UI"/>
      <family val="3"/>
      <charset val="128"/>
    </font>
    <font>
      <sz val="11"/>
      <color rgb="FF3B3B3B"/>
      <name val="Meiryo UI"/>
      <family val="3"/>
      <charset val="128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4.9989318521683403E-2"/>
        <bgColor indexed="64"/>
      </patternFill>
    </fill>
  </fills>
  <borders count="63">
    <border>
      <left/>
      <right/>
      <top/>
      <bottom/>
      <diagonal/>
    </border>
    <border>
      <left/>
      <right/>
      <top/>
      <bottom style="thin">
        <color theme="3"/>
      </bottom>
      <diagonal/>
    </border>
    <border>
      <left/>
      <right/>
      <top style="thin">
        <color theme="3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theme="0" tint="-0.49998474074526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/>
      </top>
      <bottom/>
      <diagonal/>
    </border>
    <border>
      <left/>
      <right/>
      <top style="thin">
        <color theme="0" tint="-0.499984740745262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medium">
        <color rgb="FF0070C0"/>
      </left>
      <right style="medium">
        <color rgb="FF0070C0"/>
      </right>
      <top style="medium">
        <color rgb="FF0070C0"/>
      </top>
      <bottom style="medium">
        <color rgb="FF0070C0"/>
      </bottom>
      <diagonal/>
    </border>
    <border>
      <left style="thin">
        <color rgb="FF0070C0"/>
      </left>
      <right style="thin">
        <color rgb="FF0070C0"/>
      </right>
      <top style="thin">
        <color rgb="FF0070C0"/>
      </top>
      <bottom style="thin">
        <color rgb="FF0070C0"/>
      </bottom>
      <diagonal/>
    </border>
    <border>
      <left/>
      <right/>
      <top style="thin">
        <color indexed="64"/>
      </top>
      <bottom style="thin">
        <color theme="0"/>
      </bottom>
      <diagonal/>
    </border>
    <border>
      <left style="medium">
        <color rgb="FF0070C0"/>
      </left>
      <right/>
      <top style="medium">
        <color rgb="FF0070C0"/>
      </top>
      <bottom style="medium">
        <color rgb="FF0070C0"/>
      </bottom>
      <diagonal/>
    </border>
    <border>
      <left/>
      <right/>
      <top style="medium">
        <color rgb="FF0070C0"/>
      </top>
      <bottom style="medium">
        <color rgb="FF0070C0"/>
      </bottom>
      <diagonal/>
    </border>
    <border>
      <left/>
      <right style="medium">
        <color rgb="FF0070C0"/>
      </right>
      <top style="medium">
        <color rgb="FF0070C0"/>
      </top>
      <bottom style="medium">
        <color rgb="FF0070C0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/>
      <right style="thin">
        <color indexed="64"/>
      </right>
      <top style="thin">
        <color indexed="64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theme="0" tint="-0.24994659260841701"/>
      </top>
      <bottom/>
      <diagonal/>
    </border>
    <border>
      <left/>
      <right/>
      <top/>
      <bottom style="thin">
        <color theme="0" tint="-0.24994659260841701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/>
      <right/>
      <top style="medium">
        <color theme="0" tint="-0.499984740745262"/>
      </top>
      <bottom/>
      <diagonal/>
    </border>
    <border>
      <left/>
      <right style="medium">
        <color theme="0" tint="-0.499984740745262"/>
      </right>
      <top style="medium">
        <color theme="0" tint="-0.499984740745262"/>
      </top>
      <bottom/>
      <diagonal/>
    </border>
    <border>
      <left style="medium">
        <color theme="0" tint="-0.499984740745262"/>
      </left>
      <right/>
      <top/>
      <bottom style="medium">
        <color theme="0" tint="-0.499984740745262"/>
      </bottom>
      <diagonal/>
    </border>
    <border>
      <left/>
      <right/>
      <top/>
      <bottom style="medium">
        <color theme="0" tint="-0.499984740745262"/>
      </bottom>
      <diagonal/>
    </border>
    <border>
      <left/>
      <right style="medium">
        <color theme="0" tint="-0.499984740745262"/>
      </right>
      <top/>
      <bottom style="medium">
        <color theme="0" tint="-0.499984740745262"/>
      </bottom>
      <diagonal/>
    </border>
    <border>
      <left style="medium">
        <color theme="0" tint="-0.499984740745262"/>
      </left>
      <right/>
      <top/>
      <bottom/>
      <diagonal/>
    </border>
    <border>
      <left/>
      <right style="medium">
        <color theme="0" tint="-0.499984740745262"/>
      </right>
      <top/>
      <bottom/>
      <diagonal/>
    </border>
    <border>
      <left style="medium">
        <color theme="0" tint="-0.499984740745262"/>
      </left>
      <right/>
      <top style="thin">
        <color theme="0" tint="-0.499984740745262"/>
      </top>
      <bottom/>
      <diagonal/>
    </border>
    <border>
      <left style="medium">
        <color theme="0" tint="-0.499984740745262"/>
      </left>
      <right/>
      <top/>
      <bottom style="thin">
        <color theme="0" tint="-0.499984740745262"/>
      </bottom>
      <diagonal/>
    </border>
  </borders>
  <cellStyleXfs count="1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4" fillId="3" borderId="0" applyAlignment="0"/>
    <xf numFmtId="0" fontId="3" fillId="0" borderId="0"/>
    <xf numFmtId="0" fontId="5" fillId="0" borderId="0" applyAlignment="0"/>
    <xf numFmtId="38" fontId="3" fillId="0" borderId="0" applyFont="0" applyFill="0" applyBorder="0" applyAlignment="0" applyProtection="0">
      <alignment vertical="center"/>
    </xf>
    <xf numFmtId="0" fontId="6" fillId="0" borderId="0" applyAlignment="0"/>
    <xf numFmtId="0" fontId="18" fillId="0" borderId="0"/>
    <xf numFmtId="9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/>
    <xf numFmtId="38" fontId="18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</cellStyleXfs>
  <cellXfs count="362">
    <xf numFmtId="0" fontId="0" fillId="0" borderId="0" xfId="0">
      <alignment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8" fillId="6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/>
    </xf>
    <xf numFmtId="38" fontId="7" fillId="0" borderId="0" xfId="1" applyFont="1" applyAlignment="1">
      <alignment horizontal="right" vertical="center"/>
    </xf>
    <xf numFmtId="38" fontId="9" fillId="0" borderId="0" xfId="1" applyFont="1" applyAlignment="1">
      <alignment horizontal="right" vertical="center"/>
    </xf>
    <xf numFmtId="0" fontId="7" fillId="7" borderId="0" xfId="0" applyFont="1" applyFill="1">
      <alignment vertical="center"/>
    </xf>
    <xf numFmtId="0" fontId="7" fillId="5" borderId="0" xfId="0" applyFont="1" applyFill="1">
      <alignment vertical="center"/>
    </xf>
    <xf numFmtId="38" fontId="9" fillId="5" borderId="0" xfId="1" applyFont="1" applyFill="1" applyAlignment="1">
      <alignment horizontal="right" vertical="center"/>
    </xf>
    <xf numFmtId="0" fontId="9" fillId="5" borderId="0" xfId="0" applyFont="1" applyFill="1">
      <alignment vertical="center"/>
    </xf>
    <xf numFmtId="38" fontId="9" fillId="0" borderId="0" xfId="1" applyFont="1" applyBorder="1" applyAlignment="1">
      <alignment horizontal="right" vertical="center"/>
    </xf>
    <xf numFmtId="176" fontId="7" fillId="0" borderId="0" xfId="2" applyNumberFormat="1" applyFont="1" applyAlignment="1">
      <alignment horizontal="right" vertical="center"/>
    </xf>
    <xf numFmtId="0" fontId="7" fillId="0" borderId="2" xfId="0" applyFont="1" applyBorder="1" applyAlignment="1">
      <alignment horizontal="right" vertical="center"/>
    </xf>
    <xf numFmtId="38" fontId="9" fillId="0" borderId="0" xfId="1" applyFont="1" applyFill="1" applyAlignment="1">
      <alignment horizontal="right" vertical="center"/>
    </xf>
    <xf numFmtId="176" fontId="7" fillId="0" borderId="0" xfId="2" applyNumberFormat="1" applyFont="1" applyFill="1" applyAlignment="1">
      <alignment horizontal="right" vertical="center"/>
    </xf>
    <xf numFmtId="177" fontId="8" fillId="4" borderId="0" xfId="0" applyNumberFormat="1" applyFont="1" applyFill="1" applyAlignment="1">
      <alignment horizontal="center" vertical="center"/>
    </xf>
    <xf numFmtId="38" fontId="7" fillId="0" borderId="0" xfId="1" applyFont="1" applyBorder="1" applyAlignment="1">
      <alignment horizontal="right" vertical="center"/>
    </xf>
    <xf numFmtId="0" fontId="7" fillId="5" borderId="1" xfId="0" applyFont="1" applyFill="1" applyBorder="1">
      <alignment vertical="center"/>
    </xf>
    <xf numFmtId="38" fontId="9" fillId="5" borderId="1" xfId="1" applyFont="1" applyFill="1" applyBorder="1" applyAlignment="1">
      <alignment horizontal="right" vertical="center"/>
    </xf>
    <xf numFmtId="38" fontId="7" fillId="0" borderId="0" xfId="0" applyNumberFormat="1" applyFont="1">
      <alignment vertical="center"/>
    </xf>
    <xf numFmtId="38" fontId="9" fillId="0" borderId="0" xfId="1" applyFont="1">
      <alignment vertical="center"/>
    </xf>
    <xf numFmtId="0" fontId="7" fillId="2" borderId="0" xfId="0" applyFont="1" applyFill="1">
      <alignment vertical="center"/>
    </xf>
    <xf numFmtId="38" fontId="9" fillId="2" borderId="0" xfId="1" applyFont="1" applyFill="1" applyAlignment="1">
      <alignment horizontal="right" vertical="center"/>
    </xf>
    <xf numFmtId="38" fontId="7" fillId="2" borderId="0" xfId="1" applyFont="1" applyFill="1" applyAlignment="1">
      <alignment horizontal="right" vertical="center"/>
    </xf>
    <xf numFmtId="176" fontId="7" fillId="2" borderId="0" xfId="2" applyNumberFormat="1" applyFont="1" applyFill="1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7" fillId="0" borderId="3" xfId="0" applyFont="1" applyBorder="1">
      <alignment vertical="center"/>
    </xf>
    <xf numFmtId="38" fontId="7" fillId="5" borderId="0" xfId="1" applyFont="1" applyFill="1">
      <alignment vertical="center"/>
    </xf>
    <xf numFmtId="38" fontId="7" fillId="5" borderId="0" xfId="1" applyFont="1" applyFill="1" applyAlignment="1">
      <alignment horizontal="right" vertical="center"/>
    </xf>
    <xf numFmtId="38" fontId="7" fillId="5" borderId="3" xfId="1" applyFont="1" applyFill="1" applyBorder="1" applyAlignment="1">
      <alignment horizontal="right" vertical="center"/>
    </xf>
    <xf numFmtId="0" fontId="7" fillId="2" borderId="0" xfId="0" applyFont="1" applyFill="1" applyAlignment="1">
      <alignment horizontal="left" vertical="center"/>
    </xf>
    <xf numFmtId="38" fontId="7" fillId="0" borderId="0" xfId="1" applyFont="1" applyFill="1" applyAlignment="1">
      <alignment horizontal="right" vertical="center"/>
    </xf>
    <xf numFmtId="38" fontId="11" fillId="2" borderId="0" xfId="1" applyFont="1" applyFill="1" applyAlignment="1">
      <alignment horizontal="right" vertical="center"/>
    </xf>
    <xf numFmtId="0" fontId="11" fillId="2" borderId="0" xfId="0" applyFont="1" applyFill="1" applyAlignment="1">
      <alignment horizontal="left" vertical="center"/>
    </xf>
    <xf numFmtId="0" fontId="11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 wrapText="1"/>
    </xf>
    <xf numFmtId="0" fontId="10" fillId="6" borderId="5" xfId="0" applyFont="1" applyFill="1" applyBorder="1" applyAlignment="1">
      <alignment horizontal="center" vertical="center"/>
    </xf>
    <xf numFmtId="0" fontId="12" fillId="6" borderId="9" xfId="0" applyFont="1" applyFill="1" applyBorder="1" applyAlignment="1">
      <alignment horizontal="center" vertical="center"/>
    </xf>
    <xf numFmtId="0" fontId="11" fillId="2" borderId="0" xfId="0" applyFont="1" applyFill="1">
      <alignment vertical="center"/>
    </xf>
    <xf numFmtId="3" fontId="11" fillId="2" borderId="0" xfId="0" applyNumberFormat="1" applyFont="1" applyFill="1" applyAlignment="1">
      <alignment horizontal="right" vertical="center" wrapText="1"/>
    </xf>
    <xf numFmtId="178" fontId="11" fillId="2" borderId="0" xfId="0" applyNumberFormat="1" applyFont="1" applyFill="1" applyAlignment="1">
      <alignment horizontal="right" vertical="center"/>
    </xf>
    <xf numFmtId="0" fontId="11" fillId="2" borderId="10" xfId="0" applyFont="1" applyFill="1" applyBorder="1">
      <alignment vertical="center"/>
    </xf>
    <xf numFmtId="0" fontId="11" fillId="2" borderId="10" xfId="0" applyFont="1" applyFill="1" applyBorder="1" applyAlignment="1">
      <alignment horizontal="center" vertical="center"/>
    </xf>
    <xf numFmtId="3" fontId="11" fillId="2" borderId="10" xfId="0" applyNumberFormat="1" applyFont="1" applyFill="1" applyBorder="1" applyAlignment="1">
      <alignment horizontal="right" vertical="center"/>
    </xf>
    <xf numFmtId="3" fontId="11" fillId="2" borderId="10" xfId="0" applyNumberFormat="1" applyFont="1" applyFill="1" applyBorder="1" applyAlignment="1">
      <alignment horizontal="right" vertical="center" wrapText="1"/>
    </xf>
    <xf numFmtId="0" fontId="11" fillId="2" borderId="0" xfId="0" applyFont="1" applyFill="1" applyAlignment="1">
      <alignment horizontal="right" vertical="center"/>
    </xf>
    <xf numFmtId="14" fontId="16" fillId="2" borderId="17" xfId="5" applyNumberFormat="1" applyFont="1" applyFill="1" applyBorder="1" applyAlignment="1">
      <alignment horizontal="right" vertical="center"/>
    </xf>
    <xf numFmtId="9" fontId="7" fillId="0" borderId="0" xfId="0" applyNumberFormat="1" applyFont="1">
      <alignment vertical="center"/>
    </xf>
    <xf numFmtId="0" fontId="8" fillId="11" borderId="0" xfId="0" applyFont="1" applyFill="1">
      <alignment vertical="center"/>
    </xf>
    <xf numFmtId="0" fontId="7" fillId="4" borderId="0" xfId="0" applyFont="1" applyFill="1">
      <alignment vertical="center"/>
    </xf>
    <xf numFmtId="0" fontId="7" fillId="0" borderId="0" xfId="0" applyFont="1" applyAlignment="1">
      <alignment horizontal="left" vertical="center" indent="1"/>
    </xf>
    <xf numFmtId="38" fontId="9" fillId="2" borderId="0" xfId="1" applyFont="1" applyFill="1">
      <alignment vertical="center"/>
    </xf>
    <xf numFmtId="38" fontId="7" fillId="2" borderId="0" xfId="1" applyFont="1" applyFill="1">
      <alignment vertical="center"/>
    </xf>
    <xf numFmtId="38" fontId="7" fillId="2" borderId="0" xfId="0" applyNumberFormat="1" applyFont="1" applyFill="1" applyAlignment="1">
      <alignment horizontal="right" vertical="center"/>
    </xf>
    <xf numFmtId="38" fontId="7" fillId="2" borderId="0" xfId="1" applyFont="1" applyFill="1" applyBorder="1" applyAlignment="1">
      <alignment horizontal="right" vertical="center"/>
    </xf>
    <xf numFmtId="0" fontId="7" fillId="2" borderId="0" xfId="0" quotePrefix="1" applyFont="1" applyFill="1" applyAlignment="1">
      <alignment horizontal="right" vertical="center"/>
    </xf>
    <xf numFmtId="0" fontId="8" fillId="4" borderId="0" xfId="0" applyFont="1" applyFill="1">
      <alignment vertical="center"/>
    </xf>
    <xf numFmtId="0" fontId="7" fillId="0" borderId="26" xfId="0" applyFont="1" applyBorder="1">
      <alignment vertical="center"/>
    </xf>
    <xf numFmtId="10" fontId="7" fillId="0" borderId="0" xfId="0" applyNumberFormat="1" applyFont="1">
      <alignment vertical="center"/>
    </xf>
    <xf numFmtId="38" fontId="7" fillId="5" borderId="0" xfId="1" applyFont="1" applyFill="1" applyBorder="1" applyAlignment="1">
      <alignment horizontal="right" vertical="center"/>
    </xf>
    <xf numFmtId="38" fontId="7" fillId="0" borderId="3" xfId="1" applyFont="1" applyBorder="1" applyAlignment="1">
      <alignment horizontal="right" vertical="center"/>
    </xf>
    <xf numFmtId="10" fontId="7" fillId="0" borderId="0" xfId="0" applyNumberFormat="1" applyFont="1" applyAlignment="1">
      <alignment horizontal="center" vertical="center"/>
    </xf>
    <xf numFmtId="0" fontId="7" fillId="7" borderId="3" xfId="0" applyFont="1" applyFill="1" applyBorder="1">
      <alignment vertical="center"/>
    </xf>
    <xf numFmtId="181" fontId="7" fillId="7" borderId="3" xfId="0" applyNumberFormat="1" applyFont="1" applyFill="1" applyBorder="1">
      <alignment vertical="center"/>
    </xf>
    <xf numFmtId="38" fontId="7" fillId="7" borderId="3" xfId="1" applyFont="1" applyFill="1" applyBorder="1" applyAlignment="1">
      <alignment horizontal="right" vertical="center"/>
    </xf>
    <xf numFmtId="181" fontId="7" fillId="2" borderId="0" xfId="0" applyNumberFormat="1" applyFont="1" applyFill="1" applyAlignment="1">
      <alignment horizontal="left" vertical="center"/>
    </xf>
    <xf numFmtId="0" fontId="17" fillId="0" borderId="0" xfId="0" applyFont="1">
      <alignment vertical="center"/>
    </xf>
    <xf numFmtId="38" fontId="17" fillId="0" borderId="0" xfId="1" applyFont="1" applyAlignment="1">
      <alignment horizontal="right" vertical="center"/>
    </xf>
    <xf numFmtId="0" fontId="17" fillId="0" borderId="0" xfId="0" applyFont="1" applyAlignment="1">
      <alignment horizontal="left" vertical="center" indent="1"/>
    </xf>
    <xf numFmtId="0" fontId="7" fillId="5" borderId="3" xfId="0" applyFont="1" applyFill="1" applyBorder="1">
      <alignment vertical="center"/>
    </xf>
    <xf numFmtId="38" fontId="7" fillId="0" borderId="26" xfId="1" applyFont="1" applyBorder="1" applyAlignment="1">
      <alignment horizontal="right" vertical="center"/>
    </xf>
    <xf numFmtId="40" fontId="7" fillId="0" borderId="0" xfId="1" applyNumberFormat="1" applyFont="1" applyBorder="1" applyAlignment="1">
      <alignment horizontal="right" vertical="center"/>
    </xf>
    <xf numFmtId="0" fontId="7" fillId="0" borderId="0" xfId="0" quotePrefix="1" applyFont="1">
      <alignment vertical="center"/>
    </xf>
    <xf numFmtId="38" fontId="7" fillId="0" borderId="0" xfId="1" applyFont="1" applyAlignment="1">
      <alignment horizontal="left" vertical="center"/>
    </xf>
    <xf numFmtId="38" fontId="8" fillId="0" borderId="0" xfId="1" applyFont="1" applyAlignment="1">
      <alignment horizontal="right" vertical="center"/>
    </xf>
    <xf numFmtId="10" fontId="7" fillId="0" borderId="25" xfId="0" applyNumberFormat="1" applyFont="1" applyBorder="1">
      <alignment vertical="center"/>
    </xf>
    <xf numFmtId="10" fontId="7" fillId="0" borderId="25" xfId="2" applyNumberFormat="1" applyFont="1" applyBorder="1" applyAlignment="1">
      <alignment horizontal="right" vertical="center"/>
    </xf>
    <xf numFmtId="10" fontId="7" fillId="0" borderId="27" xfId="2" applyNumberFormat="1" applyFont="1" applyBorder="1" applyAlignment="1">
      <alignment horizontal="right" vertical="center"/>
    </xf>
    <xf numFmtId="0" fontId="8" fillId="8" borderId="0" xfId="0" applyFont="1" applyFill="1">
      <alignment vertical="center"/>
    </xf>
    <xf numFmtId="0" fontId="7" fillId="5" borderId="26" xfId="0" applyFont="1" applyFill="1" applyBorder="1">
      <alignment vertical="center"/>
    </xf>
    <xf numFmtId="38" fontId="7" fillId="5" borderId="26" xfId="1" applyFont="1" applyFill="1" applyBorder="1" applyAlignment="1">
      <alignment horizontal="right" vertical="center"/>
    </xf>
    <xf numFmtId="38" fontId="7" fillId="0" borderId="0" xfId="1" applyFont="1" applyBorder="1">
      <alignment vertical="center"/>
    </xf>
    <xf numFmtId="38" fontId="7" fillId="0" borderId="22" xfId="1" applyFont="1" applyBorder="1" applyAlignment="1">
      <alignment horizontal="center" vertical="center"/>
    </xf>
    <xf numFmtId="10" fontId="7" fillId="5" borderId="0" xfId="0" applyNumberFormat="1" applyFont="1" applyFill="1" applyAlignment="1">
      <alignment horizontal="right" vertical="center"/>
    </xf>
    <xf numFmtId="10" fontId="8" fillId="0" borderId="0" xfId="2" applyNumberFormat="1" applyFont="1" applyAlignment="1">
      <alignment horizontal="right" vertical="center"/>
    </xf>
    <xf numFmtId="176" fontId="8" fillId="0" borderId="0" xfId="2" applyNumberFormat="1" applyFont="1" applyAlignment="1">
      <alignment horizontal="right" vertical="center"/>
    </xf>
    <xf numFmtId="0" fontId="21" fillId="7" borderId="0" xfId="8" applyFont="1" applyFill="1"/>
    <xf numFmtId="10" fontId="21" fillId="7" borderId="0" xfId="9" applyNumberFormat="1" applyFont="1" applyFill="1" applyAlignment="1"/>
    <xf numFmtId="0" fontId="23" fillId="7" borderId="0" xfId="8" applyFont="1" applyFill="1"/>
    <xf numFmtId="0" fontId="23" fillId="0" borderId="0" xfId="8" applyFont="1"/>
    <xf numFmtId="0" fontId="23" fillId="0" borderId="0" xfId="8" applyFont="1" applyAlignment="1">
      <alignment horizontal="center" vertical="center"/>
    </xf>
    <xf numFmtId="0" fontId="23" fillId="0" borderId="0" xfId="8" applyFont="1" applyAlignment="1">
      <alignment horizontal="center"/>
    </xf>
    <xf numFmtId="0" fontId="24" fillId="0" borderId="0" xfId="8" applyFont="1" applyAlignment="1">
      <alignment horizontal="left"/>
    </xf>
    <xf numFmtId="0" fontId="24" fillId="0" borderId="0" xfId="8" applyFont="1"/>
    <xf numFmtId="0" fontId="25" fillId="0" borderId="0" xfId="8" applyFont="1"/>
    <xf numFmtId="0" fontId="25" fillId="0" borderId="0" xfId="8" applyFont="1" applyAlignment="1">
      <alignment horizontal="center" vertical="center"/>
    </xf>
    <xf numFmtId="0" fontId="25" fillId="0" borderId="0" xfId="8" applyFont="1" applyAlignment="1">
      <alignment horizontal="center"/>
    </xf>
    <xf numFmtId="0" fontId="24" fillId="2" borderId="0" xfId="8" applyFont="1" applyFill="1"/>
    <xf numFmtId="0" fontId="26" fillId="4" borderId="0" xfId="8" applyFont="1" applyFill="1" applyAlignment="1">
      <alignment vertical="center"/>
    </xf>
    <xf numFmtId="0" fontId="27" fillId="4" borderId="0" xfId="8" applyFont="1" applyFill="1" applyAlignment="1">
      <alignment vertical="center"/>
    </xf>
    <xf numFmtId="0" fontId="28" fillId="4" borderId="0" xfId="8" applyFont="1" applyFill="1" applyAlignment="1">
      <alignment vertical="center"/>
    </xf>
    <xf numFmtId="0" fontId="28" fillId="0" borderId="0" xfId="8" applyFont="1" applyAlignment="1">
      <alignment vertical="center"/>
    </xf>
    <xf numFmtId="0" fontId="27" fillId="4" borderId="0" xfId="8" applyFont="1" applyFill="1" applyAlignment="1">
      <alignment horizontal="center" vertical="center"/>
    </xf>
    <xf numFmtId="0" fontId="27" fillId="2" borderId="0" xfId="8" applyFont="1" applyFill="1" applyAlignment="1">
      <alignment vertical="center"/>
    </xf>
    <xf numFmtId="0" fontId="28" fillId="2" borderId="0" xfId="8" applyFont="1" applyFill="1" applyAlignment="1">
      <alignment vertical="center"/>
    </xf>
    <xf numFmtId="0" fontId="28" fillId="0" borderId="0" xfId="8" applyFont="1" applyAlignment="1">
      <alignment horizontal="left" vertical="center" wrapText="1"/>
    </xf>
    <xf numFmtId="0" fontId="25" fillId="0" borderId="0" xfId="8" applyFont="1" applyAlignment="1">
      <alignment vertical="center"/>
    </xf>
    <xf numFmtId="0" fontId="25" fillId="2" borderId="0" xfId="8" applyFont="1" applyFill="1" applyAlignment="1">
      <alignment vertical="center"/>
    </xf>
    <xf numFmtId="0" fontId="30" fillId="0" borderId="0" xfId="8" applyFont="1" applyAlignment="1">
      <alignment horizontal="left" vertical="center"/>
    </xf>
    <xf numFmtId="0" fontId="28" fillId="2" borderId="30" xfId="8" applyFont="1" applyFill="1" applyBorder="1" applyAlignment="1">
      <alignment horizontal="right"/>
    </xf>
    <xf numFmtId="0" fontId="25" fillId="2" borderId="31" xfId="8" applyFont="1" applyFill="1" applyBorder="1" applyAlignment="1">
      <alignment vertical="center"/>
    </xf>
    <xf numFmtId="0" fontId="31" fillId="0" borderId="32" xfId="8" applyFont="1" applyBorder="1" applyAlignment="1">
      <alignment vertical="center"/>
    </xf>
    <xf numFmtId="0" fontId="25" fillId="0" borderId="27" xfId="8" applyFont="1" applyBorder="1" applyAlignment="1">
      <alignment vertical="center"/>
    </xf>
    <xf numFmtId="0" fontId="25" fillId="0" borderId="33" xfId="8" applyFont="1" applyBorder="1" applyAlignment="1">
      <alignment vertical="center"/>
    </xf>
    <xf numFmtId="0" fontId="30" fillId="13" borderId="34" xfId="8" applyFont="1" applyFill="1" applyBorder="1" applyAlignment="1">
      <alignment vertical="center"/>
    </xf>
    <xf numFmtId="0" fontId="30" fillId="13" borderId="5" xfId="8" applyFont="1" applyFill="1" applyBorder="1" applyAlignment="1">
      <alignment horizontal="center" vertical="center"/>
    </xf>
    <xf numFmtId="2" fontId="28" fillId="0" borderId="36" xfId="8" applyNumberFormat="1" applyFont="1" applyBorder="1" applyAlignment="1">
      <alignment horizontal="right" vertical="center"/>
    </xf>
    <xf numFmtId="10" fontId="28" fillId="0" borderId="36" xfId="9" applyNumberFormat="1" applyFont="1" applyBorder="1" applyAlignment="1">
      <alignment horizontal="right" vertical="center"/>
    </xf>
    <xf numFmtId="40" fontId="28" fillId="2" borderId="0" xfId="11" applyNumberFormat="1" applyFont="1" applyFill="1" applyAlignment="1">
      <alignment horizontal="right" vertical="center"/>
    </xf>
    <xf numFmtId="38" fontId="28" fillId="0" borderId="0" xfId="1" applyFont="1" applyAlignment="1">
      <alignment vertical="center"/>
    </xf>
    <xf numFmtId="0" fontId="30" fillId="9" borderId="0" xfId="8" applyFont="1" applyFill="1" applyAlignment="1">
      <alignment vertical="center"/>
    </xf>
    <xf numFmtId="0" fontId="25" fillId="9" borderId="0" xfId="8" applyFont="1" applyFill="1" applyAlignment="1">
      <alignment vertical="center"/>
    </xf>
    <xf numFmtId="0" fontId="30" fillId="0" borderId="0" xfId="8" quotePrefix="1" applyFont="1" applyAlignment="1">
      <alignment horizontal="left" vertical="center"/>
    </xf>
    <xf numFmtId="10" fontId="30" fillId="0" borderId="37" xfId="8" applyNumberFormat="1" applyFont="1" applyBorder="1" applyAlignment="1">
      <alignment vertical="center"/>
    </xf>
    <xf numFmtId="0" fontId="30" fillId="0" borderId="0" xfId="8" quotePrefix="1" applyFont="1" applyAlignment="1">
      <alignment horizontal="right" vertical="center"/>
    </xf>
    <xf numFmtId="0" fontId="30" fillId="0" borderId="0" xfId="8" applyFont="1" applyAlignment="1">
      <alignment vertical="center"/>
    </xf>
    <xf numFmtId="0" fontId="28" fillId="0" borderId="0" xfId="8" applyFont="1"/>
    <xf numFmtId="0" fontId="30" fillId="0" borderId="0" xfId="8" applyFont="1"/>
    <xf numFmtId="10" fontId="30" fillId="0" borderId="38" xfId="8" applyNumberFormat="1" applyFont="1" applyBorder="1"/>
    <xf numFmtId="40" fontId="28" fillId="2" borderId="3" xfId="11" applyNumberFormat="1" applyFont="1" applyFill="1" applyBorder="1" applyAlignment="1">
      <alignment horizontal="right" vertical="center"/>
    </xf>
    <xf numFmtId="2" fontId="30" fillId="0" borderId="38" xfId="8" applyNumberFormat="1" applyFont="1" applyBorder="1"/>
    <xf numFmtId="0" fontId="28" fillId="0" borderId="0" xfId="8" applyFont="1" applyAlignment="1">
      <alignment horizontal="center" vertical="center"/>
    </xf>
    <xf numFmtId="38" fontId="28" fillId="0" borderId="0" xfId="11" applyFont="1" applyAlignment="1">
      <alignment vertical="center"/>
    </xf>
    <xf numFmtId="38" fontId="30" fillId="5" borderId="21" xfId="11" applyFont="1" applyFill="1" applyBorder="1" applyAlignment="1">
      <alignment horizontal="right" vertical="center"/>
    </xf>
    <xf numFmtId="2" fontId="28" fillId="5" borderId="29" xfId="8" applyNumberFormat="1" applyFont="1" applyFill="1" applyBorder="1" applyAlignment="1">
      <alignment horizontal="right" vertical="center"/>
    </xf>
    <xf numFmtId="10" fontId="28" fillId="5" borderId="39" xfId="9" applyNumberFormat="1" applyFont="1" applyFill="1" applyBorder="1" applyAlignment="1">
      <alignment horizontal="center" vertical="center"/>
    </xf>
    <xf numFmtId="2" fontId="28" fillId="2" borderId="0" xfId="8" applyNumberFormat="1" applyFont="1" applyFill="1" applyAlignment="1">
      <alignment horizontal="right" vertical="center"/>
    </xf>
    <xf numFmtId="0" fontId="30" fillId="5" borderId="23" xfId="8" applyFont="1" applyFill="1" applyBorder="1" applyAlignment="1">
      <alignment horizontal="right" vertical="center"/>
    </xf>
    <xf numFmtId="2" fontId="30" fillId="5" borderId="3" xfId="8" applyNumberFormat="1" applyFont="1" applyFill="1" applyBorder="1" applyAlignment="1">
      <alignment horizontal="right" vertical="center"/>
    </xf>
    <xf numFmtId="0" fontId="28" fillId="5" borderId="3" xfId="8" applyFont="1" applyFill="1" applyBorder="1" applyAlignment="1">
      <alignment horizontal="center" vertical="center"/>
    </xf>
    <xf numFmtId="176" fontId="30" fillId="0" borderId="38" xfId="8" applyNumberFormat="1" applyFont="1" applyBorder="1"/>
    <xf numFmtId="0" fontId="28" fillId="0" borderId="0" xfId="8" applyFont="1" applyAlignment="1">
      <alignment horizontal="center"/>
    </xf>
    <xf numFmtId="10" fontId="30" fillId="0" borderId="37" xfId="8" applyNumberFormat="1" applyFont="1" applyBorder="1" applyAlignment="1">
      <alignment horizontal="right" vertical="center"/>
    </xf>
    <xf numFmtId="40" fontId="30" fillId="0" borderId="37" xfId="11" applyNumberFormat="1" applyFont="1" applyBorder="1" applyAlignment="1">
      <alignment vertical="center"/>
    </xf>
    <xf numFmtId="10" fontId="30" fillId="0" borderId="37" xfId="9" applyNumberFormat="1" applyFont="1" applyBorder="1" applyAlignment="1">
      <alignment vertical="center"/>
    </xf>
    <xf numFmtId="180" fontId="30" fillId="0" borderId="0" xfId="8" applyNumberFormat="1" applyFont="1"/>
    <xf numFmtId="0" fontId="26" fillId="4" borderId="40" xfId="8" applyFont="1" applyFill="1" applyBorder="1" applyAlignment="1">
      <alignment vertical="center"/>
    </xf>
    <xf numFmtId="0" fontId="26" fillId="4" borderId="41" xfId="8" applyFont="1" applyFill="1" applyBorder="1" applyAlignment="1">
      <alignment vertical="center"/>
    </xf>
    <xf numFmtId="0" fontId="27" fillId="4" borderId="41" xfId="8" applyFont="1" applyFill="1" applyBorder="1" applyAlignment="1">
      <alignment vertical="center"/>
    </xf>
    <xf numFmtId="0" fontId="27" fillId="4" borderId="42" xfId="8" applyFont="1" applyFill="1" applyBorder="1" applyAlignment="1">
      <alignment vertical="center"/>
    </xf>
    <xf numFmtId="0" fontId="28" fillId="0" borderId="0" xfId="8" quotePrefix="1" applyFont="1" applyAlignment="1">
      <alignment vertical="center"/>
    </xf>
    <xf numFmtId="176" fontId="30" fillId="0" borderId="0" xfId="8" applyNumberFormat="1" applyFont="1"/>
    <xf numFmtId="3" fontId="11" fillId="2" borderId="0" xfId="0" applyNumberFormat="1" applyFont="1" applyFill="1" applyAlignment="1">
      <alignment horizontal="center" vertical="center"/>
    </xf>
    <xf numFmtId="17" fontId="28" fillId="0" borderId="0" xfId="8" applyNumberFormat="1" applyFont="1" applyAlignment="1">
      <alignment vertical="center"/>
    </xf>
    <xf numFmtId="184" fontId="8" fillId="6" borderId="0" xfId="0" applyNumberFormat="1" applyFont="1" applyFill="1" applyAlignment="1">
      <alignment horizontal="center" vertical="center"/>
    </xf>
    <xf numFmtId="185" fontId="8" fillId="6" borderId="0" xfId="0" applyNumberFormat="1" applyFont="1" applyFill="1" applyAlignment="1">
      <alignment horizontal="center" vertical="center"/>
    </xf>
    <xf numFmtId="184" fontId="8" fillId="4" borderId="0" xfId="0" applyNumberFormat="1" applyFont="1" applyFill="1" applyAlignment="1">
      <alignment horizontal="center" vertical="center"/>
    </xf>
    <xf numFmtId="186" fontId="8" fillId="4" borderId="0" xfId="0" applyNumberFormat="1" applyFont="1" applyFill="1" applyAlignment="1">
      <alignment horizontal="center" vertical="center" shrinkToFit="1"/>
    </xf>
    <xf numFmtId="38" fontId="9" fillId="0" borderId="0" xfId="0" applyNumberFormat="1" applyFont="1" applyAlignment="1">
      <alignment horizontal="right" vertical="center"/>
    </xf>
    <xf numFmtId="0" fontId="17" fillId="5" borderId="0" xfId="0" applyFont="1" applyFill="1">
      <alignment vertical="center"/>
    </xf>
    <xf numFmtId="176" fontId="17" fillId="0" borderId="0" xfId="2" applyNumberFormat="1" applyFont="1" applyFill="1" applyAlignment="1">
      <alignment horizontal="right" vertical="center"/>
    </xf>
    <xf numFmtId="0" fontId="34" fillId="5" borderId="0" xfId="0" applyFont="1" applyFill="1">
      <alignment vertical="center"/>
    </xf>
    <xf numFmtId="176" fontId="34" fillId="5" borderId="0" xfId="2" applyNumberFormat="1" applyFont="1" applyFill="1" applyAlignment="1">
      <alignment horizontal="right" vertical="center"/>
    </xf>
    <xf numFmtId="0" fontId="34" fillId="0" borderId="0" xfId="0" applyFont="1">
      <alignment vertical="center"/>
    </xf>
    <xf numFmtId="176" fontId="34" fillId="0" borderId="0" xfId="2" applyNumberFormat="1" applyFont="1" applyFill="1" applyAlignment="1">
      <alignment horizontal="right" vertical="center"/>
    </xf>
    <xf numFmtId="187" fontId="7" fillId="2" borderId="44" xfId="0" applyNumberFormat="1" applyFont="1" applyFill="1" applyBorder="1">
      <alignment vertical="center"/>
    </xf>
    <xf numFmtId="38" fontId="7" fillId="5" borderId="1" xfId="1" applyFont="1" applyFill="1" applyBorder="1" applyAlignment="1">
      <alignment horizontal="right" vertical="center"/>
    </xf>
    <xf numFmtId="40" fontId="9" fillId="0" borderId="0" xfId="1" applyNumberFormat="1" applyFont="1" applyFill="1" applyAlignment="1">
      <alignment horizontal="right" vertical="center"/>
    </xf>
    <xf numFmtId="38" fontId="7" fillId="5" borderId="1" xfId="1" applyFont="1" applyFill="1" applyBorder="1">
      <alignment vertical="center"/>
    </xf>
    <xf numFmtId="0" fontId="35" fillId="0" borderId="0" xfId="12" applyFont="1" applyAlignment="1"/>
    <xf numFmtId="2" fontId="28" fillId="0" borderId="43" xfId="8" applyNumberFormat="1" applyFont="1" applyBorder="1" applyAlignment="1">
      <alignment horizontal="right" vertical="center"/>
    </xf>
    <xf numFmtId="2" fontId="28" fillId="5" borderId="45" xfId="8" applyNumberFormat="1" applyFont="1" applyFill="1" applyBorder="1" applyAlignment="1">
      <alignment horizontal="right" vertical="center"/>
    </xf>
    <xf numFmtId="2" fontId="30" fillId="5" borderId="24" xfId="8" applyNumberFormat="1" applyFont="1" applyFill="1" applyBorder="1" applyAlignment="1">
      <alignment horizontal="right" vertical="center"/>
    </xf>
    <xf numFmtId="0" fontId="30" fillId="2" borderId="5" xfId="8" applyFont="1" applyFill="1" applyBorder="1" applyAlignment="1">
      <alignment horizontal="center" vertical="center"/>
    </xf>
    <xf numFmtId="182" fontId="7" fillId="0" borderId="0" xfId="2" applyNumberFormat="1" applyFont="1" applyAlignment="1">
      <alignment horizontal="right" vertical="center"/>
    </xf>
    <xf numFmtId="2" fontId="15" fillId="2" borderId="48" xfId="8" applyNumberFormat="1" applyFont="1" applyFill="1" applyBorder="1" applyAlignment="1">
      <alignment horizontal="right"/>
    </xf>
    <xf numFmtId="0" fontId="17" fillId="2" borderId="0" xfId="0" applyFont="1" applyFill="1">
      <alignment vertical="center"/>
    </xf>
    <xf numFmtId="176" fontId="34" fillId="2" borderId="0" xfId="2" applyNumberFormat="1" applyFont="1" applyFill="1" applyAlignment="1">
      <alignment horizontal="right" vertical="center"/>
    </xf>
    <xf numFmtId="0" fontId="34" fillId="2" borderId="0" xfId="0" applyFont="1" applyFill="1" applyAlignment="1">
      <alignment horizontal="left" vertical="center" indent="1"/>
    </xf>
    <xf numFmtId="0" fontId="36" fillId="2" borderId="0" xfId="12" applyFont="1" applyFill="1" applyAlignment="1">
      <alignment vertical="center"/>
    </xf>
    <xf numFmtId="10" fontId="37" fillId="12" borderId="46" xfId="9" applyNumberFormat="1" applyFont="1" applyFill="1" applyBorder="1" applyAlignment="1">
      <alignment horizontal="right"/>
    </xf>
    <xf numFmtId="10" fontId="37" fillId="12" borderId="47" xfId="9" applyNumberFormat="1" applyFont="1" applyFill="1" applyBorder="1" applyAlignment="1">
      <alignment horizontal="right"/>
    </xf>
    <xf numFmtId="9" fontId="37" fillId="12" borderId="28" xfId="8" applyNumberFormat="1" applyFont="1" applyFill="1" applyBorder="1"/>
    <xf numFmtId="0" fontId="38" fillId="0" borderId="35" xfId="8" applyFont="1" applyBorder="1" applyAlignment="1">
      <alignment horizontal="left" vertical="center"/>
    </xf>
    <xf numFmtId="0" fontId="38" fillId="0" borderId="36" xfId="8" applyFont="1" applyBorder="1" applyAlignment="1">
      <alignment horizontal="center" vertical="center"/>
    </xf>
    <xf numFmtId="3" fontId="38" fillId="0" borderId="36" xfId="8" applyNumberFormat="1" applyFont="1" applyBorder="1" applyAlignment="1">
      <alignment vertical="center"/>
    </xf>
    <xf numFmtId="38" fontId="38" fillId="0" borderId="36" xfId="11" applyFont="1" applyBorder="1" applyAlignment="1">
      <alignment vertical="center"/>
    </xf>
    <xf numFmtId="0" fontId="38" fillId="2" borderId="0" xfId="8" applyFont="1" applyFill="1" applyAlignment="1">
      <alignment vertical="center"/>
    </xf>
    <xf numFmtId="0" fontId="38" fillId="2" borderId="18" xfId="8" applyFont="1" applyFill="1" applyBorder="1" applyAlignment="1">
      <alignment horizontal="center" vertical="center"/>
    </xf>
    <xf numFmtId="38" fontId="38" fillId="2" borderId="18" xfId="11" applyFont="1" applyFill="1" applyBorder="1" applyAlignment="1">
      <alignment vertical="center"/>
    </xf>
    <xf numFmtId="0" fontId="38" fillId="2" borderId="0" xfId="8" applyFont="1" applyFill="1" applyAlignment="1">
      <alignment horizontal="center" vertical="center"/>
    </xf>
    <xf numFmtId="3" fontId="38" fillId="2" borderId="36" xfId="8" applyNumberFormat="1" applyFont="1" applyFill="1" applyBorder="1" applyAlignment="1">
      <alignment vertical="center"/>
    </xf>
    <xf numFmtId="38" fontId="38" fillId="2" borderId="0" xfId="11" applyFont="1" applyFill="1" applyBorder="1" applyAlignment="1">
      <alignment vertical="center"/>
    </xf>
    <xf numFmtId="3" fontId="38" fillId="2" borderId="18" xfId="8" applyNumberFormat="1" applyFont="1" applyFill="1" applyBorder="1" applyAlignment="1">
      <alignment vertical="center"/>
    </xf>
    <xf numFmtId="0" fontId="38" fillId="2" borderId="3" xfId="8" applyFont="1" applyFill="1" applyBorder="1" applyAlignment="1">
      <alignment vertical="center"/>
    </xf>
    <xf numFmtId="0" fontId="38" fillId="2" borderId="3" xfId="8" applyFont="1" applyFill="1" applyBorder="1" applyAlignment="1">
      <alignment horizontal="center" vertical="center"/>
    </xf>
    <xf numFmtId="3" fontId="38" fillId="0" borderId="43" xfId="8" applyNumberFormat="1" applyFont="1" applyBorder="1" applyAlignment="1">
      <alignment vertical="center"/>
    </xf>
    <xf numFmtId="38" fontId="38" fillId="2" borderId="3" xfId="11" applyFont="1" applyFill="1" applyBorder="1" applyAlignment="1">
      <alignment vertical="center"/>
    </xf>
    <xf numFmtId="10" fontId="38" fillId="0" borderId="36" xfId="9" applyNumberFormat="1" applyFont="1" applyBorder="1" applyAlignment="1">
      <alignment horizontal="right" vertical="center"/>
    </xf>
    <xf numFmtId="10" fontId="38" fillId="2" borderId="0" xfId="9" applyNumberFormat="1" applyFont="1" applyFill="1" applyBorder="1" applyAlignment="1">
      <alignment horizontal="right" vertical="center"/>
    </xf>
    <xf numFmtId="10" fontId="38" fillId="2" borderId="3" xfId="9" applyNumberFormat="1" applyFont="1" applyFill="1" applyBorder="1" applyAlignment="1">
      <alignment horizontal="right" vertical="center"/>
    </xf>
    <xf numFmtId="183" fontId="38" fillId="2" borderId="30" xfId="11" applyNumberFormat="1" applyFont="1" applyFill="1" applyBorder="1" applyAlignment="1">
      <alignment horizontal="right" vertical="center"/>
    </xf>
    <xf numFmtId="183" fontId="38" fillId="2" borderId="0" xfId="11" applyNumberFormat="1" applyFont="1" applyFill="1" applyAlignment="1">
      <alignment horizontal="right" vertical="center"/>
    </xf>
    <xf numFmtId="183" fontId="38" fillId="2" borderId="3" xfId="11" applyNumberFormat="1" applyFont="1" applyFill="1" applyBorder="1" applyAlignment="1">
      <alignment horizontal="right" vertical="center"/>
    </xf>
    <xf numFmtId="188" fontId="38" fillId="0" borderId="36" xfId="8" applyNumberFormat="1" applyFont="1" applyBorder="1" applyAlignment="1">
      <alignment horizontal="right" vertical="center"/>
    </xf>
    <xf numFmtId="188" fontId="38" fillId="2" borderId="0" xfId="8" applyNumberFormat="1" applyFont="1" applyFill="1" applyAlignment="1">
      <alignment horizontal="right" vertical="center"/>
    </xf>
    <xf numFmtId="188" fontId="38" fillId="2" borderId="3" xfId="8" applyNumberFormat="1" applyFont="1" applyFill="1" applyBorder="1" applyAlignment="1">
      <alignment horizontal="right" vertical="center"/>
    </xf>
    <xf numFmtId="10" fontId="39" fillId="0" borderId="28" xfId="0" applyNumberFormat="1" applyFont="1" applyBorder="1">
      <alignment vertical="center"/>
    </xf>
    <xf numFmtId="0" fontId="40" fillId="0" borderId="0" xfId="0" applyFont="1">
      <alignment vertical="center"/>
    </xf>
    <xf numFmtId="0" fontId="40" fillId="10" borderId="20" xfId="0" applyFont="1" applyFill="1" applyBorder="1" applyAlignment="1">
      <alignment horizontal="right" vertical="center"/>
    </xf>
    <xf numFmtId="38" fontId="7" fillId="5" borderId="0" xfId="1" applyFont="1" applyFill="1" applyBorder="1">
      <alignment vertical="center"/>
    </xf>
    <xf numFmtId="38" fontId="40" fillId="5" borderId="0" xfId="1" applyFont="1" applyFill="1" applyAlignment="1">
      <alignment horizontal="right" vertical="center"/>
    </xf>
    <xf numFmtId="0" fontId="40" fillId="5" borderId="0" xfId="0" applyFont="1" applyFill="1">
      <alignment vertical="center"/>
    </xf>
    <xf numFmtId="38" fontId="7" fillId="5" borderId="0" xfId="0" applyNumberFormat="1" applyFont="1" applyFill="1">
      <alignment vertical="center"/>
    </xf>
    <xf numFmtId="10" fontId="7" fillId="5" borderId="0" xfId="0" applyNumberFormat="1" applyFont="1" applyFill="1">
      <alignment vertical="center"/>
    </xf>
    <xf numFmtId="10" fontId="39" fillId="0" borderId="0" xfId="0" applyNumberFormat="1" applyFont="1">
      <alignment vertical="center"/>
    </xf>
    <xf numFmtId="9" fontId="7" fillId="5" borderId="0" xfId="0" applyNumberFormat="1" applyFont="1" applyFill="1">
      <alignment vertical="center"/>
    </xf>
    <xf numFmtId="0" fontId="7" fillId="0" borderId="49" xfId="0" applyFont="1" applyBorder="1">
      <alignment vertical="center"/>
    </xf>
    <xf numFmtId="0" fontId="7" fillId="0" borderId="0" xfId="0" applyFont="1" applyAlignment="1">
      <alignment horizontal="left" vertical="center"/>
    </xf>
    <xf numFmtId="9" fontId="7" fillId="2" borderId="0" xfId="0" applyNumberFormat="1" applyFont="1" applyFill="1">
      <alignment vertical="center"/>
    </xf>
    <xf numFmtId="10" fontId="7" fillId="0" borderId="0" xfId="2" applyNumberFormat="1" applyFont="1" applyFill="1">
      <alignment vertical="center"/>
    </xf>
    <xf numFmtId="0" fontId="7" fillId="14" borderId="0" xfId="0" applyFont="1" applyFill="1">
      <alignment vertical="center"/>
    </xf>
    <xf numFmtId="0" fontId="41" fillId="14" borderId="0" xfId="0" applyFont="1" applyFill="1">
      <alignment vertical="center"/>
    </xf>
    <xf numFmtId="10" fontId="41" fillId="14" borderId="0" xfId="2" applyNumberFormat="1" applyFont="1" applyFill="1" applyBorder="1">
      <alignment vertical="center"/>
    </xf>
    <xf numFmtId="0" fontId="39" fillId="0" borderId="0" xfId="0" applyFont="1" applyAlignment="1">
      <alignment horizontal="center" vertical="center"/>
    </xf>
    <xf numFmtId="0" fontId="7" fillId="5" borderId="0" xfId="0" applyFont="1" applyFill="1" applyAlignment="1">
      <alignment horizontal="left" vertical="center"/>
    </xf>
    <xf numFmtId="0" fontId="39" fillId="5" borderId="0" xfId="0" applyFont="1" applyFill="1" applyAlignment="1">
      <alignment horizontal="center" vertical="center"/>
    </xf>
    <xf numFmtId="0" fontId="7" fillId="14" borderId="51" xfId="0" applyFont="1" applyFill="1" applyBorder="1">
      <alignment vertical="center"/>
    </xf>
    <xf numFmtId="10" fontId="7" fillId="14" borderId="51" xfId="0" applyNumberFormat="1" applyFont="1" applyFill="1" applyBorder="1">
      <alignment vertical="center"/>
    </xf>
    <xf numFmtId="0" fontId="7" fillId="14" borderId="52" xfId="0" applyFont="1" applyFill="1" applyBorder="1">
      <alignment vertical="center"/>
    </xf>
    <xf numFmtId="10" fontId="7" fillId="14" borderId="52" xfId="0" applyNumberFormat="1" applyFont="1" applyFill="1" applyBorder="1">
      <alignment vertical="center"/>
    </xf>
    <xf numFmtId="0" fontId="39" fillId="14" borderId="51" xfId="0" applyFont="1" applyFill="1" applyBorder="1" applyAlignment="1">
      <alignment horizontal="center" vertical="center"/>
    </xf>
    <xf numFmtId="0" fontId="39" fillId="14" borderId="0" xfId="0" applyFont="1" applyFill="1" applyAlignment="1">
      <alignment horizontal="center" vertical="center"/>
    </xf>
    <xf numFmtId="0" fontId="39" fillId="14" borderId="52" xfId="0" applyFont="1" applyFill="1" applyBorder="1" applyAlignment="1">
      <alignment horizontal="center" vertical="center"/>
    </xf>
    <xf numFmtId="10" fontId="7" fillId="14" borderId="0" xfId="0" applyNumberFormat="1" applyFont="1" applyFill="1">
      <alignment vertical="center"/>
    </xf>
    <xf numFmtId="189" fontId="39" fillId="14" borderId="0" xfId="0" applyNumberFormat="1" applyFont="1" applyFill="1" applyAlignment="1">
      <alignment horizontal="center" vertical="center" shrinkToFit="1"/>
    </xf>
    <xf numFmtId="0" fontId="7" fillId="0" borderId="50" xfId="0" applyFont="1" applyBorder="1">
      <alignment vertical="center"/>
    </xf>
    <xf numFmtId="38" fontId="7" fillId="0" borderId="0" xfId="1" applyFont="1" applyFill="1">
      <alignment vertical="center"/>
    </xf>
    <xf numFmtId="10" fontId="15" fillId="2" borderId="12" xfId="8" applyNumberFormat="1" applyFont="1" applyFill="1" applyBorder="1" applyAlignment="1">
      <alignment horizontal="right"/>
    </xf>
    <xf numFmtId="2" fontId="15" fillId="2" borderId="0" xfId="8" applyNumberFormat="1" applyFont="1" applyFill="1"/>
    <xf numFmtId="10" fontId="15" fillId="2" borderId="15" xfId="8" applyNumberFormat="1" applyFont="1" applyFill="1" applyBorder="1"/>
    <xf numFmtId="38" fontId="7" fillId="12" borderId="0" xfId="1" applyFont="1" applyFill="1" applyAlignment="1">
      <alignment horizontal="right" vertical="center"/>
    </xf>
    <xf numFmtId="38" fontId="17" fillId="12" borderId="0" xfId="1" applyFont="1" applyFill="1" applyAlignment="1">
      <alignment horizontal="right" vertical="center"/>
    </xf>
    <xf numFmtId="0" fontId="17" fillId="0" borderId="0" xfId="0" applyFont="1" applyAlignment="1">
      <alignment horizontal="left" vertical="center"/>
    </xf>
    <xf numFmtId="10" fontId="39" fillId="0" borderId="20" xfId="0" applyNumberFormat="1" applyFont="1" applyBorder="1">
      <alignment vertical="center"/>
    </xf>
    <xf numFmtId="10" fontId="7" fillId="0" borderId="27" xfId="2" applyNumberFormat="1" applyFont="1" applyBorder="1" applyAlignment="1">
      <alignment horizontal="center" vertical="center"/>
    </xf>
    <xf numFmtId="38" fontId="7" fillId="0" borderId="3" xfId="0" applyNumberFormat="1" applyFont="1" applyBorder="1">
      <alignment vertical="center"/>
    </xf>
    <xf numFmtId="190" fontId="7" fillId="0" borderId="3" xfId="1" applyNumberFormat="1" applyFont="1" applyBorder="1" applyAlignment="1">
      <alignment horizontal="right" vertical="center"/>
    </xf>
    <xf numFmtId="190" fontId="7" fillId="0" borderId="0" xfId="1" applyNumberFormat="1" applyFont="1" applyAlignment="1">
      <alignment horizontal="right" vertical="center"/>
    </xf>
    <xf numFmtId="190" fontId="7" fillId="5" borderId="0" xfId="1" applyNumberFormat="1" applyFont="1" applyFill="1" applyAlignment="1">
      <alignment horizontal="right" vertical="center"/>
    </xf>
    <xf numFmtId="0" fontId="12" fillId="6" borderId="6" xfId="0" applyFont="1" applyFill="1" applyBorder="1" applyAlignment="1">
      <alignment horizontal="center" vertical="center"/>
    </xf>
    <xf numFmtId="0" fontId="11" fillId="2" borderId="0" xfId="4" applyFont="1" applyFill="1" applyAlignment="1">
      <alignment vertical="center"/>
    </xf>
    <xf numFmtId="0" fontId="42" fillId="2" borderId="0" xfId="4" applyFont="1" applyFill="1"/>
    <xf numFmtId="0" fontId="42" fillId="2" borderId="0" xfId="4" applyFont="1" applyFill="1" applyAlignment="1">
      <alignment vertical="center"/>
    </xf>
    <xf numFmtId="0" fontId="11" fillId="2" borderId="0" xfId="4" applyFont="1" applyFill="1" applyAlignment="1">
      <alignment horizontal="center"/>
    </xf>
    <xf numFmtId="0" fontId="11" fillId="2" borderId="0" xfId="4" applyFont="1" applyFill="1"/>
    <xf numFmtId="0" fontId="15" fillId="5" borderId="11" xfId="4" applyFont="1" applyFill="1" applyBorder="1" applyAlignment="1">
      <alignment horizontal="right" vertical="center"/>
    </xf>
    <xf numFmtId="0" fontId="11" fillId="2" borderId="0" xfId="4" applyFont="1" applyFill="1" applyAlignment="1">
      <alignment horizontal="center" vertical="center"/>
    </xf>
    <xf numFmtId="0" fontId="11" fillId="2" borderId="0" xfId="4" applyFont="1" applyFill="1" applyAlignment="1">
      <alignment horizontal="right" vertical="center"/>
    </xf>
    <xf numFmtId="0" fontId="15" fillId="2" borderId="0" xfId="4" applyFont="1" applyFill="1" applyAlignment="1">
      <alignment horizontal="right" vertical="center"/>
    </xf>
    <xf numFmtId="0" fontId="15" fillId="5" borderId="14" xfId="4" applyFont="1" applyFill="1" applyBorder="1" applyAlignment="1">
      <alignment horizontal="right" vertical="center"/>
    </xf>
    <xf numFmtId="0" fontId="42" fillId="2" borderId="0" xfId="4" applyFont="1" applyFill="1" applyAlignment="1">
      <alignment horizontal="right" vertical="center"/>
    </xf>
    <xf numFmtId="0" fontId="42" fillId="2" borderId="0" xfId="4" applyFont="1" applyFill="1" applyAlignment="1">
      <alignment horizontal="left" vertical="center"/>
    </xf>
    <xf numFmtId="0" fontId="43" fillId="2" borderId="0" xfId="4" applyFont="1" applyFill="1" applyAlignment="1">
      <alignment horizontal="right" vertical="center"/>
    </xf>
    <xf numFmtId="179" fontId="42" fillId="2" borderId="0" xfId="4" applyNumberFormat="1" applyFont="1" applyFill="1" applyAlignment="1">
      <alignment horizontal="right" vertical="center"/>
    </xf>
    <xf numFmtId="0" fontId="42" fillId="2" borderId="0" xfId="4" applyFont="1" applyFill="1" applyAlignment="1">
      <alignment horizontal="center" vertical="center"/>
    </xf>
    <xf numFmtId="0" fontId="42" fillId="2" borderId="0" xfId="4" applyFont="1" applyFill="1" applyAlignment="1">
      <alignment horizontal="center"/>
    </xf>
    <xf numFmtId="3" fontId="11" fillId="2" borderId="0" xfId="0" applyNumberFormat="1" applyFont="1" applyFill="1" applyAlignment="1">
      <alignment horizontal="right" vertical="center"/>
    </xf>
    <xf numFmtId="0" fontId="11" fillId="2" borderId="19" xfId="0" applyFont="1" applyFill="1" applyBorder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right" vertical="center"/>
    </xf>
    <xf numFmtId="0" fontId="15" fillId="2" borderId="0" xfId="0" applyFont="1" applyFill="1" applyAlignment="1">
      <alignment horizontal="right" vertical="center"/>
    </xf>
    <xf numFmtId="178" fontId="15" fillId="2" borderId="54" xfId="0" applyNumberFormat="1" applyFont="1" applyFill="1" applyBorder="1" applyAlignment="1">
      <alignment horizontal="right" vertical="center"/>
    </xf>
    <xf numFmtId="178" fontId="15" fillId="2" borderId="55" xfId="0" applyNumberFormat="1" applyFont="1" applyFill="1" applyBorder="1" applyAlignment="1">
      <alignment horizontal="right" vertical="center"/>
    </xf>
    <xf numFmtId="178" fontId="15" fillId="2" borderId="57" xfId="0" applyNumberFormat="1" applyFont="1" applyFill="1" applyBorder="1" applyAlignment="1">
      <alignment horizontal="right" vertical="center"/>
    </xf>
    <xf numFmtId="178" fontId="15" fillId="2" borderId="58" xfId="0" applyNumberFormat="1" applyFont="1" applyFill="1" applyBorder="1" applyAlignment="1">
      <alignment horizontal="right" vertical="center"/>
    </xf>
    <xf numFmtId="0" fontId="15" fillId="5" borderId="53" xfId="0" applyFont="1" applyFill="1" applyBorder="1" applyAlignment="1">
      <alignment horizontal="right" vertical="center"/>
    </xf>
    <xf numFmtId="0" fontId="15" fillId="5" borderId="56" xfId="0" applyFont="1" applyFill="1" applyBorder="1" applyAlignment="1">
      <alignment horizontal="right" vertical="center"/>
    </xf>
    <xf numFmtId="38" fontId="11" fillId="2" borderId="0" xfId="1" applyFont="1" applyFill="1" applyAlignment="1">
      <alignment horizontal="right" vertical="center" wrapText="1"/>
    </xf>
    <xf numFmtId="38" fontId="11" fillId="2" borderId="0" xfId="1" applyFont="1" applyFill="1" applyBorder="1" applyAlignment="1">
      <alignment horizontal="right" vertical="center" wrapText="1"/>
    </xf>
    <xf numFmtId="38" fontId="11" fillId="2" borderId="10" xfId="1" applyFont="1" applyFill="1" applyBorder="1" applyAlignment="1">
      <alignment horizontal="right" vertical="center" wrapText="1"/>
    </xf>
    <xf numFmtId="38" fontId="13" fillId="2" borderId="0" xfId="1" applyFont="1" applyFill="1" applyAlignment="1">
      <alignment horizontal="right" vertical="center" wrapText="1"/>
    </xf>
    <xf numFmtId="38" fontId="14" fillId="2" borderId="0" xfId="1" applyFont="1" applyFill="1" applyAlignment="1">
      <alignment horizontal="right" vertical="center"/>
    </xf>
    <xf numFmtId="38" fontId="11" fillId="2" borderId="0" xfId="1" applyFont="1" applyFill="1" applyBorder="1" applyAlignment="1">
      <alignment horizontal="right" vertical="center"/>
    </xf>
    <xf numFmtId="38" fontId="11" fillId="2" borderId="10" xfId="1" applyFont="1" applyFill="1" applyBorder="1" applyAlignment="1">
      <alignment horizontal="right" vertical="center"/>
    </xf>
    <xf numFmtId="38" fontId="44" fillId="2" borderId="0" xfId="1" applyFont="1" applyFill="1" applyAlignment="1">
      <alignment horizontal="right" vertical="center" wrapText="1"/>
    </xf>
    <xf numFmtId="38" fontId="44" fillId="2" borderId="0" xfId="1" applyFont="1" applyFill="1" applyBorder="1" applyAlignment="1">
      <alignment horizontal="right" vertical="center" wrapText="1"/>
    </xf>
    <xf numFmtId="38" fontId="44" fillId="2" borderId="10" xfId="1" applyFont="1" applyFill="1" applyBorder="1" applyAlignment="1">
      <alignment horizontal="right" vertical="center" wrapText="1"/>
    </xf>
    <xf numFmtId="14" fontId="44" fillId="2" borderId="10" xfId="5" applyNumberFormat="1" applyFont="1" applyFill="1" applyBorder="1" applyAlignment="1">
      <alignment horizontal="center" vertical="center"/>
    </xf>
    <xf numFmtId="14" fontId="44" fillId="2" borderId="0" xfId="5" applyNumberFormat="1" applyFont="1" applyFill="1" applyAlignment="1">
      <alignment horizontal="left" vertical="center"/>
    </xf>
    <xf numFmtId="0" fontId="44" fillId="2" borderId="0" xfId="5" applyFont="1" applyFill="1" applyAlignment="1">
      <alignment horizontal="left" vertical="center" wrapText="1"/>
    </xf>
    <xf numFmtId="9" fontId="44" fillId="2" borderId="10" xfId="2" applyFont="1" applyFill="1" applyBorder="1" applyAlignment="1">
      <alignment horizontal="right" vertical="center" wrapText="1"/>
    </xf>
    <xf numFmtId="38" fontId="44" fillId="2" borderId="0" xfId="6" applyFont="1" applyFill="1" applyAlignment="1">
      <alignment horizontal="right" vertical="center" wrapText="1"/>
    </xf>
    <xf numFmtId="14" fontId="44" fillId="2" borderId="17" xfId="5" applyNumberFormat="1" applyFont="1" applyFill="1" applyBorder="1" applyAlignment="1">
      <alignment horizontal="center" vertical="center"/>
    </xf>
    <xf numFmtId="14" fontId="44" fillId="2" borderId="17" xfId="5" applyNumberFormat="1" applyFont="1" applyFill="1" applyBorder="1" applyAlignment="1">
      <alignment horizontal="left" vertical="center"/>
    </xf>
    <xf numFmtId="0" fontId="44" fillId="2" borderId="17" xfId="5" applyFont="1" applyFill="1" applyBorder="1" applyAlignment="1">
      <alignment horizontal="left" vertical="center" wrapText="1"/>
    </xf>
    <xf numFmtId="9" fontId="44" fillId="2" borderId="17" xfId="2" applyFont="1" applyFill="1" applyBorder="1" applyAlignment="1">
      <alignment horizontal="right" vertical="center" wrapText="1"/>
    </xf>
    <xf numFmtId="38" fontId="44" fillId="2" borderId="17" xfId="6" applyFont="1" applyFill="1" applyBorder="1" applyAlignment="1">
      <alignment horizontal="right" vertical="center" wrapText="1"/>
    </xf>
    <xf numFmtId="178" fontId="44" fillId="2" borderId="0" xfId="4" applyNumberFormat="1" applyFont="1" applyFill="1" applyAlignment="1">
      <alignment horizontal="right" vertical="center" wrapText="1"/>
    </xf>
    <xf numFmtId="178" fontId="44" fillId="2" borderId="17" xfId="4" applyNumberFormat="1" applyFont="1" applyFill="1" applyBorder="1" applyAlignment="1">
      <alignment horizontal="right" vertical="center" wrapText="1"/>
    </xf>
    <xf numFmtId="38" fontId="44" fillId="2" borderId="0" xfId="1" applyFont="1" applyFill="1" applyAlignment="1">
      <alignment horizontal="right" vertical="center"/>
    </xf>
    <xf numFmtId="38" fontId="44" fillId="2" borderId="0" xfId="1" applyFont="1" applyFill="1" applyBorder="1" applyAlignment="1">
      <alignment horizontal="right" vertical="center"/>
    </xf>
    <xf numFmtId="38" fontId="44" fillId="2" borderId="10" xfId="1" applyFont="1" applyFill="1" applyBorder="1" applyAlignment="1">
      <alignment horizontal="right" vertical="center"/>
    </xf>
    <xf numFmtId="177" fontId="7" fillId="2" borderId="0" xfId="0" applyNumberFormat="1" applyFont="1" applyFill="1" applyAlignment="1">
      <alignment horizontal="center" vertical="center"/>
    </xf>
    <xf numFmtId="179" fontId="7" fillId="0" borderId="0" xfId="0" applyNumberFormat="1" applyFont="1">
      <alignment vertical="center"/>
    </xf>
    <xf numFmtId="38" fontId="7" fillId="0" borderId="0" xfId="0" applyNumberFormat="1" applyFont="1" applyAlignment="1">
      <alignment horizontal="right" vertical="center"/>
    </xf>
    <xf numFmtId="0" fontId="7" fillId="0" borderId="59" xfId="0" applyFont="1" applyBorder="1" applyAlignment="1">
      <alignment horizontal="right" vertical="center"/>
    </xf>
    <xf numFmtId="0" fontId="7" fillId="0" borderId="60" xfId="0" applyFont="1" applyBorder="1">
      <alignment vertical="center"/>
    </xf>
    <xf numFmtId="0" fontId="7" fillId="0" borderId="59" xfId="0" applyFont="1" applyBorder="1">
      <alignment vertical="center"/>
    </xf>
    <xf numFmtId="177" fontId="7" fillId="2" borderId="59" xfId="0" applyNumberFormat="1" applyFont="1" applyFill="1" applyBorder="1" applyAlignment="1">
      <alignment horizontal="center" vertical="center"/>
    </xf>
    <xf numFmtId="0" fontId="7" fillId="0" borderId="56" xfId="0" applyFont="1" applyBorder="1">
      <alignment vertical="center"/>
    </xf>
    <xf numFmtId="0" fontId="7" fillId="0" borderId="57" xfId="0" applyFont="1" applyBorder="1">
      <alignment vertical="center"/>
    </xf>
    <xf numFmtId="0" fontId="7" fillId="0" borderId="58" xfId="0" applyFont="1" applyBorder="1">
      <alignment vertical="center"/>
    </xf>
    <xf numFmtId="178" fontId="7" fillId="0" borderId="0" xfId="0" applyNumberFormat="1" applyFont="1">
      <alignment vertical="center"/>
    </xf>
    <xf numFmtId="38" fontId="7" fillId="2" borderId="0" xfId="0" applyNumberFormat="1" applyFont="1" applyFill="1">
      <alignment vertical="center"/>
    </xf>
    <xf numFmtId="0" fontId="7" fillId="0" borderId="61" xfId="0" applyFont="1" applyBorder="1" applyAlignment="1">
      <alignment horizontal="right" vertical="center"/>
    </xf>
    <xf numFmtId="38" fontId="7" fillId="0" borderId="19" xfId="0" applyNumberFormat="1" applyFont="1" applyBorder="1">
      <alignment vertical="center"/>
    </xf>
    <xf numFmtId="178" fontId="7" fillId="0" borderId="19" xfId="0" applyNumberFormat="1" applyFont="1" applyBorder="1">
      <alignment vertical="center"/>
    </xf>
    <xf numFmtId="38" fontId="7" fillId="0" borderId="19" xfId="1" applyFont="1" applyBorder="1">
      <alignment vertical="center"/>
    </xf>
    <xf numFmtId="0" fontId="7" fillId="0" borderId="62" xfId="0" applyFont="1" applyBorder="1" applyAlignment="1">
      <alignment horizontal="right" vertical="center"/>
    </xf>
    <xf numFmtId="0" fontId="7" fillId="0" borderId="10" xfId="0" applyFont="1" applyBorder="1" applyAlignment="1">
      <alignment horizontal="right" vertical="center"/>
    </xf>
    <xf numFmtId="38" fontId="7" fillId="0" borderId="10" xfId="0" applyNumberFormat="1" applyFont="1" applyBorder="1">
      <alignment vertical="center"/>
    </xf>
    <xf numFmtId="38" fontId="7" fillId="0" borderId="10" xfId="1" applyFont="1" applyBorder="1">
      <alignment vertical="center"/>
    </xf>
    <xf numFmtId="0" fontId="7" fillId="0" borderId="10" xfId="0" applyFont="1" applyBorder="1" applyAlignment="1">
      <alignment horizontal="center" vertical="center"/>
    </xf>
    <xf numFmtId="0" fontId="7" fillId="0" borderId="10" xfId="0" applyFont="1" applyBorder="1">
      <alignment vertical="center"/>
    </xf>
    <xf numFmtId="0" fontId="7" fillId="2" borderId="59" xfId="0" applyFont="1" applyFill="1" applyBorder="1">
      <alignment vertical="center"/>
    </xf>
    <xf numFmtId="0" fontId="7" fillId="2" borderId="59" xfId="0" applyFont="1" applyFill="1" applyBorder="1" applyAlignment="1">
      <alignment horizontal="center" vertical="center"/>
    </xf>
    <xf numFmtId="0" fontId="7" fillId="0" borderId="60" xfId="0" applyFont="1" applyBorder="1" applyAlignment="1">
      <alignment horizontal="center" vertical="center"/>
    </xf>
    <xf numFmtId="0" fontId="26" fillId="8" borderId="53" xfId="0" applyFont="1" applyFill="1" applyBorder="1">
      <alignment vertical="center"/>
    </xf>
    <xf numFmtId="0" fontId="26" fillId="8" borderId="54" xfId="0" applyFont="1" applyFill="1" applyBorder="1">
      <alignment vertical="center"/>
    </xf>
    <xf numFmtId="0" fontId="26" fillId="8" borderId="55" xfId="0" applyFont="1" applyFill="1" applyBorder="1">
      <alignment vertical="center"/>
    </xf>
    <xf numFmtId="0" fontId="7" fillId="2" borderId="0" xfId="0" applyFont="1" applyFill="1" applyAlignment="1">
      <alignment horizontal="center" vertical="center"/>
    </xf>
    <xf numFmtId="0" fontId="26" fillId="2" borderId="59" xfId="0" applyFont="1" applyFill="1" applyBorder="1">
      <alignment vertical="center"/>
    </xf>
    <xf numFmtId="0" fontId="26" fillId="2" borderId="0" xfId="0" applyFont="1" applyFill="1">
      <alignment vertical="center"/>
    </xf>
    <xf numFmtId="178" fontId="9" fillId="0" borderId="19" xfId="0" applyNumberFormat="1" applyFont="1" applyBorder="1">
      <alignment vertical="center"/>
    </xf>
    <xf numFmtId="191" fontId="9" fillId="0" borderId="0" xfId="0" applyNumberFormat="1" applyFont="1">
      <alignment vertical="center"/>
    </xf>
    <xf numFmtId="178" fontId="9" fillId="0" borderId="0" xfId="0" applyNumberFormat="1" applyFont="1">
      <alignment vertical="center"/>
    </xf>
    <xf numFmtId="38" fontId="9" fillId="0" borderId="10" xfId="0" applyNumberFormat="1" applyFont="1" applyBorder="1" applyAlignment="1">
      <alignment horizontal="right" vertical="center"/>
    </xf>
    <xf numFmtId="0" fontId="40" fillId="0" borderId="0" xfId="0" applyFont="1" applyAlignment="1">
      <alignment horizontal="center" vertical="center"/>
    </xf>
    <xf numFmtId="0" fontId="45" fillId="0" borderId="0" xfId="0" applyFont="1">
      <alignment vertical="center"/>
    </xf>
    <xf numFmtId="0" fontId="42" fillId="0" borderId="0" xfId="0" applyFont="1">
      <alignment vertical="center"/>
    </xf>
    <xf numFmtId="31" fontId="7" fillId="0" borderId="0" xfId="0" applyNumberFormat="1" applyFont="1">
      <alignment vertical="center"/>
    </xf>
    <xf numFmtId="10" fontId="28" fillId="0" borderId="20" xfId="2" applyNumberFormat="1" applyFont="1" applyBorder="1" applyAlignment="1"/>
    <xf numFmtId="0" fontId="10" fillId="6" borderId="0" xfId="3" applyFont="1" applyFill="1" applyAlignment="1">
      <alignment horizontal="center" vertical="center" wrapText="1"/>
    </xf>
    <xf numFmtId="178" fontId="15" fillId="2" borderId="12" xfId="4" applyNumberFormat="1" applyFont="1" applyFill="1" applyBorder="1" applyAlignment="1">
      <alignment vertical="center"/>
    </xf>
    <xf numFmtId="178" fontId="15" fillId="2" borderId="13" xfId="4" applyNumberFormat="1" applyFont="1" applyFill="1" applyBorder="1" applyAlignment="1">
      <alignment vertical="center"/>
    </xf>
    <xf numFmtId="178" fontId="15" fillId="2" borderId="15" xfId="4" applyNumberFormat="1" applyFont="1" applyFill="1" applyBorder="1" applyAlignment="1">
      <alignment horizontal="right" vertical="center"/>
    </xf>
    <xf numFmtId="178" fontId="15" fillId="2" borderId="16" xfId="4" applyNumberFormat="1" applyFont="1" applyFill="1" applyBorder="1" applyAlignment="1">
      <alignment horizontal="right" vertical="center"/>
    </xf>
    <xf numFmtId="38" fontId="7" fillId="0" borderId="3" xfId="1" applyFont="1" applyBorder="1" applyAlignment="1">
      <alignment horizontal="center" vertical="center"/>
    </xf>
    <xf numFmtId="0" fontId="28" fillId="0" borderId="0" xfId="8" applyFont="1" applyAlignment="1">
      <alignment horizontal="left" vertical="center" wrapText="1"/>
    </xf>
    <xf numFmtId="0" fontId="28" fillId="0" borderId="7" xfId="8" applyFont="1" applyBorder="1" applyAlignment="1">
      <alignment horizontal="left" vertical="center" wrapText="1"/>
    </xf>
    <xf numFmtId="0" fontId="28" fillId="0" borderId="29" xfId="8" applyFont="1" applyBorder="1" applyAlignment="1">
      <alignment horizontal="left" vertical="center" wrapText="1"/>
    </xf>
    <xf numFmtId="0" fontId="12" fillId="6" borderId="6" xfId="0" applyFont="1" applyFill="1" applyBorder="1" applyAlignment="1">
      <alignment horizontal="center" vertical="center"/>
    </xf>
    <xf numFmtId="0" fontId="12" fillId="6" borderId="7" xfId="0" applyFont="1" applyFill="1" applyBorder="1" applyAlignment="1">
      <alignment horizontal="center" vertical="center"/>
    </xf>
    <xf numFmtId="0" fontId="10" fillId="6" borderId="5" xfId="0" applyFont="1" applyFill="1" applyBorder="1" applyAlignment="1">
      <alignment horizontal="center" vertical="center"/>
    </xf>
    <xf numFmtId="0" fontId="10" fillId="6" borderId="6" xfId="0" applyFont="1" applyFill="1" applyBorder="1" applyAlignment="1">
      <alignment horizontal="center" vertical="center"/>
    </xf>
    <xf numFmtId="0" fontId="10" fillId="6" borderId="5" xfId="0" applyFont="1" applyFill="1" applyBorder="1" applyAlignment="1">
      <alignment horizontal="center" vertical="center" wrapText="1"/>
    </xf>
    <xf numFmtId="0" fontId="10" fillId="6" borderId="6" xfId="0" applyFont="1" applyFill="1" applyBorder="1" applyAlignment="1">
      <alignment horizontal="center" vertical="center" wrapText="1"/>
    </xf>
    <xf numFmtId="0" fontId="10" fillId="6" borderId="4" xfId="0" applyFont="1" applyFill="1" applyBorder="1" applyAlignment="1">
      <alignment horizontal="center" vertical="center"/>
    </xf>
    <xf numFmtId="0" fontId="10" fillId="6" borderId="8" xfId="0" applyFont="1" applyFill="1" applyBorder="1" applyAlignment="1">
      <alignment horizontal="center" vertical="center"/>
    </xf>
    <xf numFmtId="0" fontId="10" fillId="6" borderId="9" xfId="0" applyFont="1" applyFill="1" applyBorder="1" applyAlignment="1">
      <alignment horizontal="center" vertical="center" wrapText="1"/>
    </xf>
  </cellXfs>
  <cellStyles count="13">
    <cellStyle name="ColumnHeaderNormal" xfId="3" xr:uid="{00000000-0005-0000-0000-000000000000}"/>
    <cellStyle name="Invisible" xfId="7" xr:uid="{00000000-0005-0000-0000-000001000000}"/>
    <cellStyle name="TextNormal" xfId="5" xr:uid="{00000000-0005-0000-0000-000002000000}"/>
    <cellStyle name="パーセント" xfId="2" builtinId="5"/>
    <cellStyle name="パーセント 2" xfId="9" xr:uid="{E5EC66F0-1EBA-412B-BE1B-18988E00F3F6}"/>
    <cellStyle name="ハイパーリンク" xfId="12" builtinId="8"/>
    <cellStyle name="ハイパーリンク 2" xfId="10" xr:uid="{306420BA-960E-46A9-983D-B4D90B8862CD}"/>
    <cellStyle name="桁区切り" xfId="1" builtinId="6"/>
    <cellStyle name="桁区切り 2" xfId="6" xr:uid="{00000000-0005-0000-0000-000005000000}"/>
    <cellStyle name="桁区切り 3" xfId="11" xr:uid="{7A3799E5-D09F-4691-8C7F-45B8463017F7}"/>
    <cellStyle name="標準" xfId="0" builtinId="0"/>
    <cellStyle name="標準 2" xfId="4" xr:uid="{00000000-0005-0000-0000-000007000000}"/>
    <cellStyle name="標準 3" xfId="8" xr:uid="{F0012A75-E9A5-4A0C-BC99-2650DC84E433}"/>
  </cellStyles>
  <dxfs count="0"/>
  <tableStyles count="0" defaultPivotStyle="PivotStyleMedium4"/>
  <colors>
    <indexedColors>
      <rgbColor rgb="00000000"/>
      <rgbColor rgb="00FFFFFF"/>
      <rgbColor rgb="00FF0000"/>
      <rgbColor rgb="000080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36202818825728977"/>
          <c:y val="4.7619047619047616E-2"/>
          <c:w val="0.56428468701686263"/>
          <c:h val="0.81486246037427135"/>
        </c:manualLayout>
      </c:layout>
      <c:barChart>
        <c:barDir val="bar"/>
        <c:grouping val="stacked"/>
        <c:varyColors val="0"/>
        <c:ser>
          <c:idx val="0"/>
          <c:order val="0"/>
          <c:spPr>
            <a:noFill/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Output!$B$7:$B$13</c:f>
              <c:strCache>
                <c:ptCount val="7"/>
                <c:pt idx="0">
                  <c:v>類似取引マルチプル（参考）</c:v>
                </c:pt>
                <c:pt idx="1">
                  <c:v>PBR（LTM）</c:v>
                </c:pt>
                <c:pt idx="2">
                  <c:v>PER（来期）</c:v>
                </c:pt>
                <c:pt idx="3">
                  <c:v>PER（今期）</c:v>
                </c:pt>
                <c:pt idx="4">
                  <c:v>EV/EBITDA（来期）</c:v>
                </c:pt>
                <c:pt idx="5">
                  <c:v>EV/EBITDA（今期）</c:v>
                </c:pt>
                <c:pt idx="6">
                  <c:v>DCF法</c:v>
                </c:pt>
              </c:strCache>
            </c:strRef>
          </c:cat>
          <c:val>
            <c:numRef>
              <c:f>Output!$I$7:$I$13</c:f>
              <c:numCache>
                <c:formatCode>#,##0_);[Red]\(#,##0\)</c:formatCode>
                <c:ptCount val="7"/>
                <c:pt idx="0">
                  <c:v>901151.125</c:v>
                </c:pt>
                <c:pt idx="1">
                  <c:v>431999.99999999994</c:v>
                </c:pt>
                <c:pt idx="2">
                  <c:v>693314.37539795926</c:v>
                </c:pt>
                <c:pt idx="3">
                  <c:v>627431.54020763352</c:v>
                </c:pt>
                <c:pt idx="4">
                  <c:v>655389.72307256248</c:v>
                </c:pt>
                <c:pt idx="5">
                  <c:v>708223.7248608534</c:v>
                </c:pt>
                <c:pt idx="6">
                  <c:v>984561.2297132134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B10-4803-AFEE-0D76CA7ECBF6}"/>
            </c:ext>
          </c:extLst>
        </c:ser>
        <c:ser>
          <c:idx val="1"/>
          <c:order val="1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bg1">
                  <a:lumMod val="6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FB10-4803-AFEE-0D76CA7ECBF6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8A4A-4BC5-AA24-E5DCBD365164}"/>
              </c:ext>
            </c:extLst>
          </c:dPt>
          <c:cat>
            <c:strRef>
              <c:f>Output!$B$7:$B$13</c:f>
              <c:strCache>
                <c:ptCount val="7"/>
                <c:pt idx="0">
                  <c:v>類似取引マルチプル（参考）</c:v>
                </c:pt>
                <c:pt idx="1">
                  <c:v>PBR（LTM）</c:v>
                </c:pt>
                <c:pt idx="2">
                  <c:v>PER（来期）</c:v>
                </c:pt>
                <c:pt idx="3">
                  <c:v>PER（今期）</c:v>
                </c:pt>
                <c:pt idx="4">
                  <c:v>EV/EBITDA（来期）</c:v>
                </c:pt>
                <c:pt idx="5">
                  <c:v>EV/EBITDA（今期）</c:v>
                </c:pt>
                <c:pt idx="6">
                  <c:v>DCF法</c:v>
                </c:pt>
              </c:strCache>
            </c:strRef>
          </c:cat>
          <c:val>
            <c:numRef>
              <c:f>Output!$J$7:$J$13</c:f>
              <c:numCache>
                <c:formatCode>#,##0_);[Red]\(#,##0\)</c:formatCode>
                <c:ptCount val="7"/>
                <c:pt idx="0">
                  <c:v>937536.875</c:v>
                </c:pt>
                <c:pt idx="1">
                  <c:v>537000</c:v>
                </c:pt>
                <c:pt idx="2">
                  <c:v>714893.28989795933</c:v>
                </c:pt>
                <c:pt idx="3">
                  <c:v>644234.68038080202</c:v>
                </c:pt>
                <c:pt idx="4">
                  <c:v>693492.22307256248</c:v>
                </c:pt>
                <c:pt idx="5">
                  <c:v>745342.7248608534</c:v>
                </c:pt>
                <c:pt idx="6">
                  <c:v>1077123.4172916799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B10-4803-AFEE-0D76CA7ECBF6}"/>
            </c:ext>
          </c:extLst>
        </c:ser>
        <c:ser>
          <c:idx val="2"/>
          <c:order val="2"/>
          <c:spPr>
            <a:noFill/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Output!$B$7:$B$13</c:f>
              <c:strCache>
                <c:ptCount val="7"/>
                <c:pt idx="0">
                  <c:v>類似取引マルチプル（参考）</c:v>
                </c:pt>
                <c:pt idx="1">
                  <c:v>PBR（LTM）</c:v>
                </c:pt>
                <c:pt idx="2">
                  <c:v>PER（来期）</c:v>
                </c:pt>
                <c:pt idx="3">
                  <c:v>PER（今期）</c:v>
                </c:pt>
                <c:pt idx="4">
                  <c:v>EV/EBITDA（来期）</c:v>
                </c:pt>
                <c:pt idx="5">
                  <c:v>EV/EBITDA（今期）</c:v>
                </c:pt>
                <c:pt idx="6">
                  <c:v>DCF法</c:v>
                </c:pt>
              </c:strCache>
            </c:strRef>
          </c:cat>
          <c:val>
            <c:numRef>
              <c:f>Output!$K$7:$K$13</c:f>
              <c:numCache>
                <c:formatCode>#,##0_);[Red]\(#,##0\)</c:formatCode>
                <c:ptCount val="7"/>
                <c:pt idx="0">
                  <c:v>973922.625</c:v>
                </c:pt>
                <c:pt idx="1">
                  <c:v>642000</c:v>
                </c:pt>
                <c:pt idx="2">
                  <c:v>736472.20439795929</c:v>
                </c:pt>
                <c:pt idx="3">
                  <c:v>661037.82055397052</c:v>
                </c:pt>
                <c:pt idx="4">
                  <c:v>731594.72307256248</c:v>
                </c:pt>
                <c:pt idx="5">
                  <c:v>782461.7248608534</c:v>
                </c:pt>
                <c:pt idx="6">
                  <c:v>1186364.0172692202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B10-4803-AFEE-0D76CA7ECB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764200624"/>
        <c:axId val="764203088"/>
      </c:barChart>
      <c:catAx>
        <c:axId val="76420062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764203088"/>
        <c:crosses val="autoZero"/>
        <c:auto val="1"/>
        <c:lblAlgn val="ctr"/>
        <c:lblOffset val="100"/>
        <c:noMultiLvlLbl val="0"/>
      </c:catAx>
      <c:valAx>
        <c:axId val="764203088"/>
        <c:scaling>
          <c:orientation val="minMax"/>
          <c:max val="2500000"/>
          <c:min val="0"/>
        </c:scaling>
        <c:delete val="0"/>
        <c:axPos val="b"/>
        <c:numFmt formatCode="#,##0_);[Red]\(#,##0\)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764200624"/>
        <c:crosses val="autoZero"/>
        <c:crossBetween val="between"/>
        <c:dispUnits>
          <c:builtInUnit val="thousands"/>
          <c:dispUnitsLbl>
            <c:layout>
              <c:manualLayout>
                <c:xMode val="edge"/>
                <c:yMode val="edge"/>
                <c:x val="0.83757990867579912"/>
                <c:y val="0.89610389610389607"/>
              </c:manualLayout>
            </c:layout>
            <c:tx>
              <c:rich>
                <a:bodyPr rot="0" spcFirstLastPara="1" vertOverflow="ellipsis" vert="horz" wrap="square" anchor="ctr" anchorCtr="1"/>
                <a:lstStyle/>
                <a:p>
                  <a:pPr>
                    <a:defRPr sz="10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r>
                    <a:rPr lang="ja-JP" altLang="en-US"/>
                    <a:t>単位：</a:t>
                  </a:r>
                  <a:r>
                    <a:rPr lang="en-US" altLang="ja-JP"/>
                    <a:t>10</a:t>
                  </a:r>
                  <a:r>
                    <a:rPr lang="ja-JP" altLang="en-US"/>
                    <a:t>億円</a:t>
                  </a:r>
                </a:p>
              </c:rich>
            </c:tx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</c:dispUnitsLbl>
        </c:dispUnits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36202818825728977"/>
          <c:y val="4.7619047619047616E-2"/>
          <c:w val="0.56428468701686263"/>
          <c:h val="0.81486246037427135"/>
        </c:manualLayout>
      </c:layout>
      <c:barChart>
        <c:barDir val="bar"/>
        <c:grouping val="stacked"/>
        <c:varyColors val="0"/>
        <c:ser>
          <c:idx val="0"/>
          <c:order val="0"/>
          <c:spPr>
            <a:noFill/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Output!$B$7:$B$13</c:f>
              <c:strCache>
                <c:ptCount val="7"/>
                <c:pt idx="0">
                  <c:v>類似取引マルチプル（参考）</c:v>
                </c:pt>
                <c:pt idx="1">
                  <c:v>PBR（LTM）</c:v>
                </c:pt>
                <c:pt idx="2">
                  <c:v>PER（来期）</c:v>
                </c:pt>
                <c:pt idx="3">
                  <c:v>PER（今期）</c:v>
                </c:pt>
                <c:pt idx="4">
                  <c:v>EV/EBITDA（来期）</c:v>
                </c:pt>
                <c:pt idx="5">
                  <c:v>EV/EBITDA（今期）</c:v>
                </c:pt>
                <c:pt idx="6">
                  <c:v>DCF法</c:v>
                </c:pt>
              </c:strCache>
            </c:strRef>
          </c:cat>
          <c:val>
            <c:numRef>
              <c:f>Output!$L$7:$L$13</c:f>
              <c:numCache>
                <c:formatCode>#,##0_);[Red]\(#,##0\)</c:formatCode>
                <c:ptCount val="7"/>
                <c:pt idx="0">
                  <c:v>1146151.125</c:v>
                </c:pt>
                <c:pt idx="1">
                  <c:v>677000</c:v>
                </c:pt>
                <c:pt idx="2">
                  <c:v>938314.37539795926</c:v>
                </c:pt>
                <c:pt idx="3">
                  <c:v>872431.54020763352</c:v>
                </c:pt>
                <c:pt idx="4">
                  <c:v>900389.72307256248</c:v>
                </c:pt>
                <c:pt idx="5">
                  <c:v>953223.7248608534</c:v>
                </c:pt>
                <c:pt idx="6">
                  <c:v>1229561.2297132134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F55-46A9-9DD2-A53276280780}"/>
            </c:ext>
          </c:extLst>
        </c:ser>
        <c:ser>
          <c:idx val="1"/>
          <c:order val="1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bg1">
                  <a:lumMod val="6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DF55-46A9-9DD2-A53276280780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4-DF55-46A9-9DD2-A53276280780}"/>
              </c:ext>
            </c:extLst>
          </c:dPt>
          <c:cat>
            <c:strRef>
              <c:f>Output!$B$7:$B$13</c:f>
              <c:strCache>
                <c:ptCount val="7"/>
                <c:pt idx="0">
                  <c:v>類似取引マルチプル（参考）</c:v>
                </c:pt>
                <c:pt idx="1">
                  <c:v>PBR（LTM）</c:v>
                </c:pt>
                <c:pt idx="2">
                  <c:v>PER（来期）</c:v>
                </c:pt>
                <c:pt idx="3">
                  <c:v>PER（今期）</c:v>
                </c:pt>
                <c:pt idx="4">
                  <c:v>EV/EBITDA（来期）</c:v>
                </c:pt>
                <c:pt idx="5">
                  <c:v>EV/EBITDA（今期）</c:v>
                </c:pt>
                <c:pt idx="6">
                  <c:v>DCF法</c:v>
                </c:pt>
              </c:strCache>
            </c:strRef>
          </c:cat>
          <c:val>
            <c:numRef>
              <c:f>Output!$M$7:$M$13</c:f>
              <c:numCache>
                <c:formatCode>#,##0_);[Red]\(#,##0\)</c:formatCode>
                <c:ptCount val="7"/>
                <c:pt idx="0">
                  <c:v>1182536.875</c:v>
                </c:pt>
                <c:pt idx="1">
                  <c:v>782000</c:v>
                </c:pt>
                <c:pt idx="2">
                  <c:v>959893.28989795933</c:v>
                </c:pt>
                <c:pt idx="3">
                  <c:v>889234.68038080202</c:v>
                </c:pt>
                <c:pt idx="4">
                  <c:v>938492.22307256248</c:v>
                </c:pt>
                <c:pt idx="5">
                  <c:v>990342.7248608534</c:v>
                </c:pt>
                <c:pt idx="6">
                  <c:v>1322123.4172916799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DF55-46A9-9DD2-A53276280780}"/>
            </c:ext>
          </c:extLst>
        </c:ser>
        <c:ser>
          <c:idx val="2"/>
          <c:order val="2"/>
          <c:spPr>
            <a:noFill/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Output!$B$7:$B$13</c:f>
              <c:strCache>
                <c:ptCount val="7"/>
                <c:pt idx="0">
                  <c:v>類似取引マルチプル（参考）</c:v>
                </c:pt>
                <c:pt idx="1">
                  <c:v>PBR（LTM）</c:v>
                </c:pt>
                <c:pt idx="2">
                  <c:v>PER（来期）</c:v>
                </c:pt>
                <c:pt idx="3">
                  <c:v>PER（今期）</c:v>
                </c:pt>
                <c:pt idx="4">
                  <c:v>EV/EBITDA（来期）</c:v>
                </c:pt>
                <c:pt idx="5">
                  <c:v>EV/EBITDA（今期）</c:v>
                </c:pt>
                <c:pt idx="6">
                  <c:v>DCF法</c:v>
                </c:pt>
              </c:strCache>
            </c:strRef>
          </c:cat>
          <c:val>
            <c:numRef>
              <c:f>Output!$N$7:$N$13</c:f>
              <c:numCache>
                <c:formatCode>#,##0_);[Red]\(#,##0\)</c:formatCode>
                <c:ptCount val="7"/>
                <c:pt idx="0">
                  <c:v>1218922.625</c:v>
                </c:pt>
                <c:pt idx="1">
                  <c:v>887000</c:v>
                </c:pt>
                <c:pt idx="2">
                  <c:v>981472.20439795929</c:v>
                </c:pt>
                <c:pt idx="3">
                  <c:v>906037.82055397052</c:v>
                </c:pt>
                <c:pt idx="4">
                  <c:v>976594.72307256248</c:v>
                </c:pt>
                <c:pt idx="5">
                  <c:v>1027461.7248608534</c:v>
                </c:pt>
                <c:pt idx="6">
                  <c:v>1431364.0172692202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F55-46A9-9DD2-A532762807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764200624"/>
        <c:axId val="764203088"/>
      </c:barChart>
      <c:catAx>
        <c:axId val="76420062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764203088"/>
        <c:crosses val="autoZero"/>
        <c:auto val="1"/>
        <c:lblAlgn val="ctr"/>
        <c:lblOffset val="100"/>
        <c:noMultiLvlLbl val="0"/>
      </c:catAx>
      <c:valAx>
        <c:axId val="764203088"/>
        <c:scaling>
          <c:orientation val="minMax"/>
          <c:max val="3000000"/>
          <c:min val="0"/>
        </c:scaling>
        <c:delete val="0"/>
        <c:axPos val="b"/>
        <c:numFmt formatCode="#,##0_);[Red]\(#,##0\)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764200624"/>
        <c:crosses val="autoZero"/>
        <c:crossBetween val="between"/>
        <c:dispUnits>
          <c:builtInUnit val="thousands"/>
          <c:dispUnitsLbl>
            <c:layout>
              <c:manualLayout>
                <c:xMode val="edge"/>
                <c:yMode val="edge"/>
                <c:x val="0.83757990867579912"/>
                <c:y val="0.89610389610389607"/>
              </c:manualLayout>
            </c:layout>
            <c:tx>
              <c:rich>
                <a:bodyPr rot="0" spcFirstLastPara="1" vertOverflow="ellipsis" vert="horz" wrap="square" anchor="ctr" anchorCtr="1"/>
                <a:lstStyle/>
                <a:p>
                  <a:pPr>
                    <a:defRPr sz="10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r>
                    <a:rPr lang="ja-JP" altLang="en-US"/>
                    <a:t>単位：</a:t>
                  </a:r>
                  <a:r>
                    <a:rPr lang="en-US" altLang="ja-JP"/>
                    <a:t>10</a:t>
                  </a:r>
                  <a:r>
                    <a:rPr lang="ja-JP" altLang="en-US"/>
                    <a:t>億円</a:t>
                  </a:r>
                </a:p>
              </c:rich>
            </c:tx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</c:dispUnitsLbl>
        </c:dispUnits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142875</xdr:colOff>
      <xdr:row>17</xdr:row>
      <xdr:rowOff>9525</xdr:rowOff>
    </xdr:from>
    <xdr:to>
      <xdr:col>7</xdr:col>
      <xdr:colOff>190500</xdr:colOff>
      <xdr:row>39</xdr:row>
      <xdr:rowOff>9525</xdr:rowOff>
    </xdr:to>
    <xdr:graphicFrame macro="">
      <xdr:nvGraphicFramePr>
        <xdr:cNvPr id="12" name="グラフ 11">
          <a:extLst>
            <a:ext uri="{FF2B5EF4-FFF2-40B4-BE49-F238E27FC236}">
              <a16:creationId xmlns:a16="http://schemas.microsoft.com/office/drawing/2014/main" id="{EBCC4708-425B-496F-B72C-EEE541E8053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0</xdr:colOff>
      <xdr:row>17</xdr:row>
      <xdr:rowOff>0</xdr:rowOff>
    </xdr:from>
    <xdr:to>
      <xdr:col>14</xdr:col>
      <xdr:colOff>533400</xdr:colOff>
      <xdr:row>39</xdr:row>
      <xdr:rowOff>0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71B94768-0E9C-438E-B423-88F9102C8FD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https://costofcapital.jp/beta/historicalbeta/" TargetMode="External"/><Relationship Id="rId2" Type="http://schemas.openxmlformats.org/officeDocument/2006/relationships/hyperlink" Target="https://www.mof.go.jp/jgbs/individual/kojinmuke/shinmadohan/issue/ten/" TargetMode="External"/><Relationship Id="rId1" Type="http://schemas.openxmlformats.org/officeDocument/2006/relationships/hyperlink" Target="https://pages.stern.nyu.edu/~adamodar/New_Home_Page/datafile/ctryprem.html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ventureinq.jp/effectivetaxrate/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09FE0B-BF8B-4F86-95DA-E91CBFFE46BD}">
  <sheetPr>
    <tabColor theme="0" tint="-0.499984740745262"/>
  </sheetPr>
  <dimension ref="B2:D24"/>
  <sheetViews>
    <sheetView showGridLines="0" tabSelected="1" workbookViewId="0">
      <selection activeCell="B7" sqref="B7"/>
    </sheetView>
  </sheetViews>
  <sheetFormatPr defaultRowHeight="14.25" x14ac:dyDescent="0.15"/>
  <cols>
    <col min="1" max="1" width="9.140625" style="1"/>
    <col min="2" max="2" width="14.5703125" style="1" bestFit="1" customWidth="1"/>
    <col min="3" max="16384" width="9.140625" style="1"/>
  </cols>
  <sheetData>
    <row r="2" spans="2:2" ht="15.75" x14ac:dyDescent="0.15">
      <c r="B2" s="341" t="s">
        <v>290</v>
      </c>
    </row>
    <row r="4" spans="2:2" ht="15.75" x14ac:dyDescent="0.15">
      <c r="B4" s="340" t="s">
        <v>285</v>
      </c>
    </row>
    <row r="5" spans="2:2" ht="15.75" x14ac:dyDescent="0.15">
      <c r="B5" s="340" t="s">
        <v>291</v>
      </c>
    </row>
    <row r="6" spans="2:2" ht="15.75" x14ac:dyDescent="0.15">
      <c r="B6" s="340" t="s">
        <v>302</v>
      </c>
    </row>
    <row r="8" spans="2:2" ht="15.75" x14ac:dyDescent="0.15">
      <c r="B8" s="340" t="s">
        <v>286</v>
      </c>
    </row>
    <row r="9" spans="2:2" ht="15.75" x14ac:dyDescent="0.15">
      <c r="B9" s="340" t="s">
        <v>292</v>
      </c>
    </row>
    <row r="11" spans="2:2" ht="15.75" x14ac:dyDescent="0.15">
      <c r="B11" s="340" t="s">
        <v>287</v>
      </c>
    </row>
    <row r="12" spans="2:2" ht="15.75" x14ac:dyDescent="0.15">
      <c r="B12" s="340" t="s">
        <v>293</v>
      </c>
    </row>
    <row r="14" spans="2:2" ht="15.75" x14ac:dyDescent="0.15">
      <c r="B14" s="340" t="s">
        <v>288</v>
      </c>
    </row>
    <row r="15" spans="2:2" ht="15.75" x14ac:dyDescent="0.15">
      <c r="B15" s="340" t="s">
        <v>294</v>
      </c>
    </row>
    <row r="16" spans="2:2" ht="15.75" x14ac:dyDescent="0.15">
      <c r="B16" s="340"/>
    </row>
    <row r="17" spans="2:4" ht="15.75" x14ac:dyDescent="0.15">
      <c r="B17" s="340" t="s">
        <v>289</v>
      </c>
    </row>
    <row r="18" spans="2:4" ht="15.75" x14ac:dyDescent="0.15">
      <c r="B18" s="340" t="s">
        <v>295</v>
      </c>
    </row>
    <row r="20" spans="2:4" x14ac:dyDescent="0.15">
      <c r="B20" s="342">
        <v>45323</v>
      </c>
      <c r="D20" s="1" t="s">
        <v>296</v>
      </c>
    </row>
    <row r="21" spans="2:4" x14ac:dyDescent="0.15">
      <c r="D21" s="1" t="s">
        <v>297</v>
      </c>
    </row>
    <row r="22" spans="2:4" x14ac:dyDescent="0.15">
      <c r="D22" s="1" t="s">
        <v>298</v>
      </c>
    </row>
    <row r="23" spans="2:4" x14ac:dyDescent="0.15">
      <c r="D23" s="1" t="s">
        <v>299</v>
      </c>
    </row>
    <row r="24" spans="2:4" x14ac:dyDescent="0.15">
      <c r="D24" s="1" t="s">
        <v>300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F37A9E-3618-4EF5-B1F4-EBEE66B36C5B}">
  <sheetPr>
    <tabColor theme="6" tint="0.59999389629810485"/>
  </sheetPr>
  <dimension ref="B1:AD42"/>
  <sheetViews>
    <sheetView showGridLines="0" workbookViewId="0">
      <selection activeCell="B1" sqref="B1"/>
    </sheetView>
  </sheetViews>
  <sheetFormatPr defaultColWidth="9.140625" defaultRowHeight="14.25" x14ac:dyDescent="0.15"/>
  <cols>
    <col min="1" max="1" width="3.140625" style="1" customWidth="1"/>
    <col min="2" max="2" width="25.7109375" style="1" bestFit="1" customWidth="1"/>
    <col min="3" max="3" width="12.28515625" style="1" bestFit="1" customWidth="1"/>
    <col min="4" max="4" width="9.28515625" style="1" customWidth="1"/>
    <col min="5" max="5" width="11.28515625" style="1" bestFit="1" customWidth="1"/>
    <col min="6" max="6" width="11.28515625" style="1" customWidth="1"/>
    <col min="7" max="7" width="12.85546875" style="1" bestFit="1" customWidth="1"/>
    <col min="8" max="8" width="9.28515625" style="1" bestFit="1" customWidth="1"/>
    <col min="9" max="14" width="12.5703125" style="1" customWidth="1"/>
    <col min="15" max="16384" width="9.140625" style="1"/>
  </cols>
  <sheetData>
    <row r="1" spans="2:30" ht="15" thickBot="1" x14ac:dyDescent="0.2">
      <c r="B1" s="1" t="s">
        <v>303</v>
      </c>
    </row>
    <row r="2" spans="2:30" ht="25.5" customHeight="1" x14ac:dyDescent="0.15">
      <c r="B2" s="329" t="s">
        <v>284</v>
      </c>
      <c r="C2" s="330"/>
      <c r="D2" s="330"/>
      <c r="E2" s="330"/>
      <c r="F2" s="330"/>
      <c r="G2" s="330"/>
      <c r="H2" s="330"/>
      <c r="I2" s="330"/>
      <c r="J2" s="330"/>
      <c r="K2" s="330"/>
      <c r="L2" s="330"/>
      <c r="M2" s="330"/>
      <c r="N2" s="330"/>
      <c r="O2" s="330"/>
      <c r="P2" s="331"/>
      <c r="Q2" s="333"/>
      <c r="R2" s="334"/>
      <c r="S2" s="334"/>
      <c r="T2" s="334"/>
      <c r="U2" s="334"/>
      <c r="V2" s="334"/>
      <c r="W2" s="334"/>
      <c r="X2" s="334"/>
      <c r="Y2" s="334"/>
      <c r="Z2" s="334"/>
      <c r="AA2" s="334"/>
      <c r="AB2" s="334"/>
      <c r="AC2" s="334"/>
      <c r="AD2" s="334"/>
    </row>
    <row r="3" spans="2:30" x14ac:dyDescent="0.15">
      <c r="B3" s="307" t="s">
        <v>270</v>
      </c>
      <c r="C3" s="1" t="s">
        <v>271</v>
      </c>
      <c r="P3" s="308"/>
      <c r="Q3" s="326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</row>
    <row r="4" spans="2:30" x14ac:dyDescent="0.15">
      <c r="B4" s="309"/>
      <c r="E4" s="304"/>
      <c r="F4" s="304"/>
      <c r="P4" s="308"/>
      <c r="Q4" s="326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</row>
    <row r="5" spans="2:30" x14ac:dyDescent="0.15">
      <c r="B5" s="309"/>
      <c r="E5" s="2"/>
      <c r="F5" s="2"/>
      <c r="G5" s="315"/>
      <c r="I5" s="325"/>
      <c r="J5" s="325" t="s">
        <v>267</v>
      </c>
      <c r="K5" s="325"/>
      <c r="L5" s="325"/>
      <c r="M5" s="324" t="s">
        <v>266</v>
      </c>
      <c r="N5" s="325"/>
      <c r="P5" s="308"/>
      <c r="Q5" s="326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</row>
    <row r="6" spans="2:30" s="2" customFormat="1" x14ac:dyDescent="0.15">
      <c r="B6" s="327" t="s">
        <v>283</v>
      </c>
      <c r="C6" s="2" t="s">
        <v>277</v>
      </c>
      <c r="D6" s="2" t="s">
        <v>279</v>
      </c>
      <c r="E6" s="339" t="s">
        <v>107</v>
      </c>
      <c r="F6" s="2" t="s">
        <v>281</v>
      </c>
      <c r="G6" s="339" t="s">
        <v>266</v>
      </c>
      <c r="H6" s="2" t="s">
        <v>282</v>
      </c>
      <c r="I6" s="2" t="s">
        <v>71</v>
      </c>
      <c r="J6" s="2" t="s">
        <v>268</v>
      </c>
      <c r="K6" s="2" t="s">
        <v>72</v>
      </c>
      <c r="L6" s="2" t="s">
        <v>71</v>
      </c>
      <c r="M6" s="2" t="s">
        <v>268</v>
      </c>
      <c r="N6" s="2" t="s">
        <v>72</v>
      </c>
      <c r="P6" s="328"/>
      <c r="Q6" s="327"/>
      <c r="R6" s="332"/>
      <c r="S6" s="332"/>
      <c r="T6" s="332"/>
      <c r="U6" s="332"/>
      <c r="V6" s="332"/>
      <c r="W6" s="332"/>
      <c r="X6" s="332"/>
      <c r="Y6" s="332"/>
      <c r="Z6" s="332"/>
      <c r="AA6" s="332"/>
      <c r="AB6" s="332"/>
      <c r="AC6" s="332"/>
      <c r="AD6" s="332"/>
    </row>
    <row r="7" spans="2:30" x14ac:dyDescent="0.15">
      <c r="B7" s="316" t="s">
        <v>73</v>
      </c>
      <c r="C7" s="317">
        <f>財務数値!G57+財務数値!F57/2</f>
        <v>72771.5</v>
      </c>
      <c r="D7" s="318">
        <f>'Transaction Multiples'!G14</f>
        <v>16.25</v>
      </c>
      <c r="E7" s="317">
        <f>G7+F7</f>
        <v>937536.875</v>
      </c>
      <c r="F7" s="317">
        <f>DCF!$D$65-DCF!$D$77</f>
        <v>-245000</v>
      </c>
      <c r="G7" s="319">
        <f>D7*C7</f>
        <v>1182536.875</v>
      </c>
      <c r="H7" s="335">
        <v>0.5</v>
      </c>
      <c r="I7" s="319">
        <f>C7*(D7-H7)+F7</f>
        <v>901151.125</v>
      </c>
      <c r="J7" s="317">
        <f>E7</f>
        <v>937536.875</v>
      </c>
      <c r="K7" s="319">
        <f>C7*(D7+H7)+F7</f>
        <v>973922.625</v>
      </c>
      <c r="L7" s="319">
        <f>C7*(D7-H7)</f>
        <v>1146151.125</v>
      </c>
      <c r="M7" s="317">
        <f>G7</f>
        <v>1182536.875</v>
      </c>
      <c r="N7" s="319">
        <f>C7*(D7+H7)</f>
        <v>1218922.625</v>
      </c>
      <c r="P7" s="308"/>
      <c r="Q7" s="326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</row>
    <row r="8" spans="2:30" x14ac:dyDescent="0.15">
      <c r="B8" s="307" t="s">
        <v>276</v>
      </c>
      <c r="C8" s="20">
        <f>財務数値!G82</f>
        <v>420000</v>
      </c>
      <c r="D8" s="314">
        <f>'Multiple Cal'!Y13</f>
        <v>1.2785714285714285</v>
      </c>
      <c r="E8" s="82">
        <f>D8*C8</f>
        <v>537000</v>
      </c>
      <c r="F8" s="20">
        <f>DCF!$D$65-DCF!$D$77</f>
        <v>-245000</v>
      </c>
      <c r="G8" s="82">
        <f>E8-F8</f>
        <v>782000</v>
      </c>
      <c r="H8" s="336">
        <v>0.25</v>
      </c>
      <c r="I8" s="82">
        <f>C8*(D8-H8)</f>
        <v>431999.99999999994</v>
      </c>
      <c r="J8" s="20">
        <f t="shared" ref="J8:J13" si="0">E8</f>
        <v>537000</v>
      </c>
      <c r="K8" s="82">
        <f>C8*(D8+H8)</f>
        <v>642000</v>
      </c>
      <c r="L8" s="82">
        <f>C8*(D8-H8)-F8</f>
        <v>677000</v>
      </c>
      <c r="M8" s="20">
        <f t="shared" ref="M8:M13" si="1">G8</f>
        <v>782000</v>
      </c>
      <c r="N8" s="82">
        <f>C8*(D8+H8)-F8</f>
        <v>887000</v>
      </c>
      <c r="P8" s="308"/>
      <c r="Q8" s="326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</row>
    <row r="9" spans="2:30" x14ac:dyDescent="0.15">
      <c r="B9" s="307" t="s">
        <v>275</v>
      </c>
      <c r="C9" s="20">
        <f>財務数値!I54</f>
        <v>43157.828999999998</v>
      </c>
      <c r="D9" s="314">
        <f>'Multiple Cal'!X13</f>
        <v>16.564625850340139</v>
      </c>
      <c r="E9" s="82">
        <f t="shared" ref="E9:E10" si="2">D9*C9</f>
        <v>714893.28989795933</v>
      </c>
      <c r="F9" s="20">
        <f>DCF!$D$65-DCF!$D$77</f>
        <v>-245000</v>
      </c>
      <c r="G9" s="82">
        <f t="shared" ref="G9:G10" si="3">E9-F9</f>
        <v>959893.28989795933</v>
      </c>
      <c r="H9" s="337">
        <v>0.5</v>
      </c>
      <c r="I9" s="82">
        <f>C9*(D9-H9)</f>
        <v>693314.37539795926</v>
      </c>
      <c r="J9" s="20">
        <f t="shared" si="0"/>
        <v>714893.28989795933</v>
      </c>
      <c r="K9" s="82">
        <f t="shared" ref="K9" si="4">C9*(D9+H9)</f>
        <v>736472.20439795929</v>
      </c>
      <c r="L9" s="82">
        <f t="shared" ref="L9:L10" si="5">C9*(D9-H9)-F9</f>
        <v>938314.37539795926</v>
      </c>
      <c r="M9" s="20">
        <f t="shared" si="1"/>
        <v>959893.28989795933</v>
      </c>
      <c r="N9" s="82">
        <f t="shared" ref="N9:N10" si="6">C9*(D9+H9)-F9</f>
        <v>981472.20439795929</v>
      </c>
      <c r="P9" s="308"/>
      <c r="Q9" s="326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</row>
    <row r="10" spans="2:30" x14ac:dyDescent="0.15">
      <c r="B10" s="307" t="s">
        <v>274</v>
      </c>
      <c r="C10" s="20">
        <f>財務数値!G54+財務数値!H54</f>
        <v>33606.28034633708</v>
      </c>
      <c r="D10" s="314">
        <f>'Multiple Cal'!W13</f>
        <v>19.170068027210885</v>
      </c>
      <c r="E10" s="82">
        <f t="shared" si="2"/>
        <v>644234.68038080202</v>
      </c>
      <c r="F10" s="20">
        <f>DCF!$D$65-DCF!$D$77</f>
        <v>-245000</v>
      </c>
      <c r="G10" s="82">
        <f t="shared" si="3"/>
        <v>889234.68038080202</v>
      </c>
      <c r="H10" s="337">
        <v>0.5</v>
      </c>
      <c r="I10" s="82">
        <f>C10*(D10-H10)</f>
        <v>627431.54020763352</v>
      </c>
      <c r="J10" s="20">
        <f t="shared" si="0"/>
        <v>644234.68038080202</v>
      </c>
      <c r="K10" s="82">
        <f>C10*(D10+H10)</f>
        <v>661037.82055397052</v>
      </c>
      <c r="L10" s="82">
        <f t="shared" si="5"/>
        <v>872431.54020763352</v>
      </c>
      <c r="M10" s="20">
        <f t="shared" si="1"/>
        <v>889234.68038080202</v>
      </c>
      <c r="N10" s="82">
        <f t="shared" si="6"/>
        <v>906037.82055397052</v>
      </c>
      <c r="P10" s="308"/>
      <c r="Q10" s="326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</row>
    <row r="11" spans="2:30" x14ac:dyDescent="0.15">
      <c r="B11" s="307" t="s">
        <v>273</v>
      </c>
      <c r="C11" s="20">
        <f>財務数値!I57</f>
        <v>76205</v>
      </c>
      <c r="D11" s="314">
        <f>'Multiple Cal'!U13</f>
        <v>12.315362811791385</v>
      </c>
      <c r="E11" s="20">
        <f>G11+F11</f>
        <v>693492.22307256248</v>
      </c>
      <c r="F11" s="20">
        <f>DCF!$D$65-DCF!$D$77</f>
        <v>-245000</v>
      </c>
      <c r="G11" s="82">
        <f>C11*D11</f>
        <v>938492.22307256248</v>
      </c>
      <c r="H11" s="337">
        <v>0.5</v>
      </c>
      <c r="I11" s="82">
        <f t="shared" ref="I11:I12" si="7">C11*(D11-H11)+F11</f>
        <v>655389.72307256248</v>
      </c>
      <c r="J11" s="20">
        <f t="shared" si="0"/>
        <v>693492.22307256248</v>
      </c>
      <c r="K11" s="82">
        <f t="shared" ref="K11:K12" si="8">C11*(D11+H11)+F11</f>
        <v>731594.72307256248</v>
      </c>
      <c r="L11" s="82">
        <f>C11*(D11-H11)</f>
        <v>900389.72307256248</v>
      </c>
      <c r="M11" s="20">
        <f t="shared" si="1"/>
        <v>938492.22307256248</v>
      </c>
      <c r="N11" s="82">
        <f t="shared" ref="N11:N12" si="9">C11*(D11+H11)</f>
        <v>976594.72307256248</v>
      </c>
      <c r="P11" s="308"/>
      <c r="Q11" s="326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</row>
    <row r="12" spans="2:30" x14ac:dyDescent="0.15">
      <c r="B12" s="307" t="s">
        <v>272</v>
      </c>
      <c r="C12" s="20">
        <f>財務数値!G57+財務数値!H57</f>
        <v>74238</v>
      </c>
      <c r="D12" s="314">
        <f>'Multiple Cal'!T13</f>
        <v>13.340105132962275</v>
      </c>
      <c r="E12" s="20">
        <f>G12+F12</f>
        <v>745342.7248608534</v>
      </c>
      <c r="F12" s="20">
        <f>DCF!$D$65-DCF!$D$77</f>
        <v>-245000</v>
      </c>
      <c r="G12" s="82">
        <f>C12*D12</f>
        <v>990342.7248608534</v>
      </c>
      <c r="H12" s="337">
        <v>0.5</v>
      </c>
      <c r="I12" s="82">
        <f t="shared" si="7"/>
        <v>708223.7248608534</v>
      </c>
      <c r="J12" s="20">
        <f t="shared" si="0"/>
        <v>745342.7248608534</v>
      </c>
      <c r="K12" s="82">
        <f t="shared" si="8"/>
        <v>782461.7248608534</v>
      </c>
      <c r="L12" s="82">
        <f>C12*(D12-H12)</f>
        <v>953223.7248608534</v>
      </c>
      <c r="M12" s="20">
        <f t="shared" si="1"/>
        <v>990342.7248608534</v>
      </c>
      <c r="N12" s="82">
        <f t="shared" si="9"/>
        <v>1027461.7248608534</v>
      </c>
      <c r="P12" s="308"/>
      <c r="Q12" s="326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</row>
    <row r="13" spans="2:30" x14ac:dyDescent="0.15">
      <c r="B13" s="320" t="s">
        <v>269</v>
      </c>
      <c r="C13" s="321" t="s">
        <v>280</v>
      </c>
      <c r="D13" s="321" t="s">
        <v>280</v>
      </c>
      <c r="E13" s="322">
        <f>DCF!D80</f>
        <v>1077123.4172916799</v>
      </c>
      <c r="F13" s="322">
        <f>DCF!$D$65-DCF!$D$77</f>
        <v>-245000</v>
      </c>
      <c r="G13" s="322">
        <f>DCF!D68</f>
        <v>1322123.4172916799</v>
      </c>
      <c r="H13" s="338" t="s">
        <v>280</v>
      </c>
      <c r="I13" s="323">
        <f>DCF!J76</f>
        <v>984561.2297132134</v>
      </c>
      <c r="J13" s="322">
        <f t="shared" si="0"/>
        <v>1077123.4172916799</v>
      </c>
      <c r="K13" s="323">
        <f>DCF!L74</f>
        <v>1186364.0172692202</v>
      </c>
      <c r="L13" s="323">
        <f>DCF!J68</f>
        <v>1229561.2297132134</v>
      </c>
      <c r="M13" s="322">
        <f t="shared" si="1"/>
        <v>1322123.4172916799</v>
      </c>
      <c r="N13" s="323">
        <f>DCF!L66</f>
        <v>1431364.0172692202</v>
      </c>
      <c r="P13" s="308"/>
      <c r="Q13" s="326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</row>
    <row r="14" spans="2:30" x14ac:dyDescent="0.15">
      <c r="B14" s="309"/>
      <c r="P14" s="308"/>
      <c r="Q14" s="326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</row>
    <row r="15" spans="2:30" x14ac:dyDescent="0.15">
      <c r="B15" s="309"/>
      <c r="G15" s="2"/>
      <c r="L15" s="20"/>
      <c r="P15" s="308"/>
      <c r="Q15" s="326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</row>
    <row r="16" spans="2:30" x14ac:dyDescent="0.15">
      <c r="B16" s="310"/>
      <c r="C16" s="4"/>
      <c r="D16" s="4"/>
      <c r="E16" s="306"/>
      <c r="F16" s="306"/>
      <c r="G16" s="305"/>
      <c r="H16" s="20"/>
      <c r="I16" s="82"/>
      <c r="J16" s="20"/>
      <c r="K16" s="82"/>
      <c r="L16" s="82"/>
      <c r="P16" s="308"/>
      <c r="Q16" s="326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</row>
    <row r="17" spans="2:30" x14ac:dyDescent="0.15">
      <c r="B17" s="309" t="s">
        <v>267</v>
      </c>
      <c r="C17" s="4"/>
      <c r="D17" s="4"/>
      <c r="E17" s="306"/>
      <c r="F17" s="306"/>
      <c r="G17" s="305"/>
      <c r="H17" s="20"/>
      <c r="I17" s="82" t="s">
        <v>266</v>
      </c>
      <c r="J17" s="20"/>
      <c r="K17" s="82"/>
      <c r="L17" s="82"/>
      <c r="P17" s="308"/>
      <c r="Q17" s="326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</row>
    <row r="18" spans="2:30" x14ac:dyDescent="0.15">
      <c r="B18" s="309"/>
      <c r="C18" s="4"/>
      <c r="D18" s="4"/>
      <c r="E18" s="306"/>
      <c r="F18" s="306"/>
      <c r="G18" s="305"/>
      <c r="H18" s="20"/>
      <c r="I18" s="82"/>
      <c r="J18" s="20"/>
      <c r="K18" s="82"/>
      <c r="L18" s="82"/>
      <c r="P18" s="308"/>
      <c r="Q18" s="326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</row>
    <row r="19" spans="2:30" x14ac:dyDescent="0.15">
      <c r="B19" s="309"/>
      <c r="E19" s="306"/>
      <c r="F19" s="306"/>
      <c r="G19" s="305"/>
      <c r="H19" s="20"/>
      <c r="I19" s="82"/>
      <c r="J19" s="20"/>
      <c r="K19" s="82"/>
      <c r="L19" s="82"/>
      <c r="P19" s="308"/>
      <c r="Q19" s="326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</row>
    <row r="20" spans="2:30" x14ac:dyDescent="0.15">
      <c r="B20" s="309"/>
      <c r="G20" s="20"/>
      <c r="H20" s="20"/>
      <c r="I20" s="82"/>
      <c r="J20" s="20"/>
      <c r="K20" s="82"/>
      <c r="L20" s="82"/>
      <c r="P20" s="308"/>
      <c r="Q20" s="326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</row>
    <row r="21" spans="2:30" x14ac:dyDescent="0.15">
      <c r="B21" s="309"/>
      <c r="P21" s="308"/>
      <c r="Q21" s="326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</row>
    <row r="22" spans="2:30" x14ac:dyDescent="0.15">
      <c r="B22" s="309"/>
      <c r="E22" s="4"/>
      <c r="F22" s="4"/>
      <c r="I22" s="20"/>
      <c r="J22" s="20"/>
      <c r="K22" s="20"/>
      <c r="P22" s="308"/>
      <c r="Q22" s="326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</row>
    <row r="23" spans="2:30" x14ac:dyDescent="0.15">
      <c r="B23" s="309"/>
      <c r="E23" s="4"/>
      <c r="F23" s="4"/>
      <c r="I23" s="20"/>
      <c r="J23" s="20"/>
      <c r="K23" s="20"/>
      <c r="P23" s="308"/>
    </row>
    <row r="24" spans="2:30" x14ac:dyDescent="0.15">
      <c r="B24" s="309"/>
      <c r="I24" s="20"/>
      <c r="J24" s="20"/>
      <c r="K24" s="20"/>
      <c r="P24" s="308"/>
    </row>
    <row r="25" spans="2:30" x14ac:dyDescent="0.15">
      <c r="B25" s="309"/>
      <c r="I25" s="20"/>
      <c r="J25" s="20"/>
      <c r="K25" s="20"/>
      <c r="P25" s="308"/>
    </row>
    <row r="26" spans="2:30" x14ac:dyDescent="0.15">
      <c r="B26" s="309"/>
      <c r="P26" s="308"/>
    </row>
    <row r="27" spans="2:30" x14ac:dyDescent="0.15">
      <c r="B27" s="309"/>
      <c r="H27" s="48"/>
      <c r="I27" s="82"/>
      <c r="J27" s="20"/>
      <c r="K27" s="82"/>
      <c r="P27" s="308"/>
    </row>
    <row r="28" spans="2:30" x14ac:dyDescent="0.15">
      <c r="B28" s="309"/>
      <c r="P28" s="308"/>
    </row>
    <row r="29" spans="2:30" x14ac:dyDescent="0.15">
      <c r="B29" s="309"/>
      <c r="P29" s="308"/>
    </row>
    <row r="30" spans="2:30" x14ac:dyDescent="0.15">
      <c r="B30" s="309"/>
      <c r="P30" s="308"/>
    </row>
    <row r="31" spans="2:30" x14ac:dyDescent="0.15">
      <c r="B31" s="309"/>
      <c r="P31" s="308"/>
    </row>
    <row r="32" spans="2:30" x14ac:dyDescent="0.15">
      <c r="B32" s="309"/>
      <c r="P32" s="308"/>
    </row>
    <row r="33" spans="2:16" x14ac:dyDescent="0.15">
      <c r="B33" s="309"/>
      <c r="P33" s="308"/>
    </row>
    <row r="34" spans="2:16" x14ac:dyDescent="0.15">
      <c r="B34" s="309"/>
      <c r="P34" s="308"/>
    </row>
    <row r="35" spans="2:16" x14ac:dyDescent="0.15">
      <c r="B35" s="309"/>
      <c r="P35" s="308"/>
    </row>
    <row r="36" spans="2:16" x14ac:dyDescent="0.15">
      <c r="B36" s="309"/>
      <c r="P36" s="308"/>
    </row>
    <row r="37" spans="2:16" x14ac:dyDescent="0.15">
      <c r="B37" s="309"/>
      <c r="P37" s="308"/>
    </row>
    <row r="38" spans="2:16" x14ac:dyDescent="0.15">
      <c r="B38" s="309"/>
      <c r="P38" s="308"/>
    </row>
    <row r="39" spans="2:16" x14ac:dyDescent="0.15">
      <c r="B39" s="309"/>
      <c r="P39" s="308"/>
    </row>
    <row r="40" spans="2:16" x14ac:dyDescent="0.15">
      <c r="B40" s="309"/>
      <c r="P40" s="308"/>
    </row>
    <row r="41" spans="2:16" x14ac:dyDescent="0.15">
      <c r="B41" s="309"/>
      <c r="P41" s="308"/>
    </row>
    <row r="42" spans="2:16" ht="15" thickBot="1" x14ac:dyDescent="0.2">
      <c r="B42" s="311"/>
      <c r="C42" s="312"/>
      <c r="D42" s="312"/>
      <c r="E42" s="312"/>
      <c r="F42" s="312"/>
      <c r="G42" s="312"/>
      <c r="H42" s="312"/>
      <c r="I42" s="312"/>
      <c r="J42" s="312"/>
      <c r="K42" s="312"/>
      <c r="L42" s="312"/>
      <c r="M42" s="312"/>
      <c r="N42" s="312"/>
      <c r="O42" s="312"/>
      <c r="P42" s="313"/>
    </row>
  </sheetData>
  <phoneticPr fontId="2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6AF6AB-39C9-40DF-82DB-3796214DBDDD}">
  <sheetPr>
    <tabColor theme="8" tint="0.59999389629810485"/>
  </sheetPr>
  <dimension ref="B1:P93"/>
  <sheetViews>
    <sheetView showGridLines="0" workbookViewId="0">
      <pane xSplit="3" ySplit="2" topLeftCell="D3" activePane="bottomRight" state="frozen"/>
      <selection pane="topRight" activeCell="D1" sqref="D1"/>
      <selection pane="bottomLeft" activeCell="A3" sqref="A3"/>
      <selection pane="bottomRight" activeCell="B1" sqref="B1"/>
    </sheetView>
  </sheetViews>
  <sheetFormatPr defaultColWidth="9.140625" defaultRowHeight="14.25" x14ac:dyDescent="0.15"/>
  <cols>
    <col min="1" max="1" width="2.85546875" style="1" customWidth="1"/>
    <col min="2" max="2" width="5.85546875" style="1" customWidth="1"/>
    <col min="3" max="3" width="18.140625" style="1" bestFit="1" customWidth="1"/>
    <col min="4" max="4" width="11.42578125" style="1" customWidth="1"/>
    <col min="5" max="6" width="10.5703125" style="1" customWidth="1"/>
    <col min="7" max="13" width="11.42578125" style="1" customWidth="1"/>
    <col min="14" max="14" width="2.28515625" style="1" customWidth="1"/>
    <col min="15" max="15" width="11.42578125" style="1" customWidth="1"/>
    <col min="16" max="16" width="2.28515625" style="1" customWidth="1"/>
    <col min="17" max="16384" width="9.140625" style="1"/>
  </cols>
  <sheetData>
    <row r="1" spans="2:16" x14ac:dyDescent="0.15">
      <c r="B1" s="1" t="s">
        <v>303</v>
      </c>
      <c r="G1" s="4" t="s">
        <v>5</v>
      </c>
      <c r="H1" s="2" t="s">
        <v>6</v>
      </c>
      <c r="I1" s="1" t="s">
        <v>7</v>
      </c>
    </row>
    <row r="2" spans="2:16" x14ac:dyDescent="0.15">
      <c r="B2" s="3" t="str">
        <f>財務数値!B2</f>
        <v>百万円</v>
      </c>
      <c r="C2" s="3" t="str">
        <f>財務数値!C2</f>
        <v>XXXX㈱</v>
      </c>
      <c r="D2" s="155">
        <v>21</v>
      </c>
      <c r="E2" s="155">
        <f t="shared" ref="E2:F2" si="0">D2+1</f>
        <v>22</v>
      </c>
      <c r="F2" s="155">
        <f t="shared" si="0"/>
        <v>23</v>
      </c>
      <c r="G2" s="156">
        <f>F2+1</f>
        <v>24</v>
      </c>
      <c r="H2" s="158">
        <f>F2+1</f>
        <v>24</v>
      </c>
      <c r="I2" s="157">
        <f t="shared" ref="I2:M2" si="1">H2+1</f>
        <v>25</v>
      </c>
      <c r="J2" s="157">
        <f t="shared" si="1"/>
        <v>26</v>
      </c>
      <c r="K2" s="157">
        <f t="shared" si="1"/>
        <v>27</v>
      </c>
      <c r="L2" s="157">
        <f t="shared" si="1"/>
        <v>28</v>
      </c>
      <c r="M2" s="157">
        <f t="shared" si="1"/>
        <v>29</v>
      </c>
      <c r="O2" s="16" t="s">
        <v>81</v>
      </c>
    </row>
    <row r="3" spans="2:16" x14ac:dyDescent="0.15">
      <c r="B3" s="213" t="s">
        <v>2</v>
      </c>
      <c r="C3" s="213"/>
      <c r="D3" s="212">
        <f>SUM(D4:D6)</f>
        <v>600000</v>
      </c>
      <c r="E3" s="212">
        <f t="shared" ref="E3:O3" si="2">SUM(E4:E6)</f>
        <v>660000</v>
      </c>
      <c r="F3" s="212">
        <f t="shared" si="2"/>
        <v>720000</v>
      </c>
      <c r="G3" s="212">
        <f t="shared" si="2"/>
        <v>390000</v>
      </c>
      <c r="H3" s="212">
        <f t="shared" si="2"/>
        <v>390000</v>
      </c>
      <c r="I3" s="212">
        <f t="shared" si="2"/>
        <v>820000</v>
      </c>
      <c r="J3" s="212">
        <f t="shared" si="2"/>
        <v>870000</v>
      </c>
      <c r="K3" s="212">
        <f t="shared" si="2"/>
        <v>920000</v>
      </c>
      <c r="L3" s="212">
        <f t="shared" si="2"/>
        <v>970000</v>
      </c>
      <c r="M3" s="212">
        <f t="shared" si="2"/>
        <v>1020000</v>
      </c>
      <c r="O3" s="212">
        <f t="shared" si="2"/>
        <v>1020000</v>
      </c>
    </row>
    <row r="4" spans="2:16" x14ac:dyDescent="0.15">
      <c r="C4" s="1" t="str">
        <f>財務数値!C4</f>
        <v>AAAA事業</v>
      </c>
      <c r="D4" s="54">
        <f>財務数値!D4</f>
        <v>300000</v>
      </c>
      <c r="E4" s="54">
        <f>財務数値!E4</f>
        <v>330000</v>
      </c>
      <c r="F4" s="54">
        <f>財務数値!F4</f>
        <v>350000</v>
      </c>
      <c r="G4" s="54">
        <f>財務数値!G4</f>
        <v>180000</v>
      </c>
      <c r="H4" s="54">
        <f>財務数値!H4*Parameter設定!D11</f>
        <v>180000</v>
      </c>
      <c r="I4" s="54">
        <f>財務数値!I4*Parameter設定!E11</f>
        <v>400000</v>
      </c>
      <c r="J4" s="54">
        <f>財務数値!J4*Parameter設定!F11</f>
        <v>420000</v>
      </c>
      <c r="K4" s="54">
        <f>財務数値!K4*Parameter設定!G11</f>
        <v>440000</v>
      </c>
      <c r="L4" s="54">
        <f>財務数値!L4*Parameter設定!H11</f>
        <v>460000</v>
      </c>
      <c r="M4" s="54">
        <f>財務数値!M4*Parameter設定!I11</f>
        <v>480000</v>
      </c>
      <c r="O4" s="32">
        <f>M4</f>
        <v>480000</v>
      </c>
    </row>
    <row r="5" spans="2:16" x14ac:dyDescent="0.15">
      <c r="C5" s="1" t="str">
        <f>財務数値!C5</f>
        <v>BBBB事業</v>
      </c>
      <c r="D5" s="54">
        <f>財務数値!D5</f>
        <v>200000</v>
      </c>
      <c r="E5" s="54">
        <f>財務数値!E5</f>
        <v>220000</v>
      </c>
      <c r="F5" s="54">
        <f>財務数値!F5</f>
        <v>250000</v>
      </c>
      <c r="G5" s="54">
        <f>財務数値!G5</f>
        <v>130000</v>
      </c>
      <c r="H5" s="54">
        <f>財務数値!H5*Parameter設定!D15</f>
        <v>130000</v>
      </c>
      <c r="I5" s="54">
        <f>財務数値!I5*Parameter設定!E15</f>
        <v>280000</v>
      </c>
      <c r="J5" s="54">
        <f>財務数値!J5*Parameter設定!F15</f>
        <v>300000</v>
      </c>
      <c r="K5" s="54">
        <f>財務数値!K5*Parameter設定!G15</f>
        <v>320000</v>
      </c>
      <c r="L5" s="54">
        <f>財務数値!L5*Parameter設定!H15</f>
        <v>340000</v>
      </c>
      <c r="M5" s="54">
        <f>財務数値!M5*Parameter設定!I15</f>
        <v>360000</v>
      </c>
      <c r="O5" s="32">
        <f>M5</f>
        <v>360000</v>
      </c>
    </row>
    <row r="6" spans="2:16" x14ac:dyDescent="0.15">
      <c r="B6" s="51"/>
      <c r="C6" s="1" t="str">
        <f>財務数値!C6</f>
        <v>CCCC事業</v>
      </c>
      <c r="D6" s="54">
        <f>財務数値!D6</f>
        <v>100000</v>
      </c>
      <c r="E6" s="54">
        <f>財務数値!E6</f>
        <v>110000</v>
      </c>
      <c r="F6" s="54">
        <f>財務数値!F6</f>
        <v>120000</v>
      </c>
      <c r="G6" s="54">
        <f>財務数値!G6</f>
        <v>80000</v>
      </c>
      <c r="H6" s="54">
        <f>財務数値!H6*Parameter設定!D19</f>
        <v>80000</v>
      </c>
      <c r="I6" s="54">
        <f>財務数値!I6*Parameter設定!E19</f>
        <v>140000</v>
      </c>
      <c r="J6" s="54">
        <f>財務数値!J6*Parameter設定!F19</f>
        <v>150000</v>
      </c>
      <c r="K6" s="54">
        <f>財務数値!K6*Parameter設定!G19</f>
        <v>160000</v>
      </c>
      <c r="L6" s="54">
        <f>財務数値!L6*Parameter設定!H19</f>
        <v>170000</v>
      </c>
      <c r="M6" s="54">
        <f>財務数値!M6*Parameter設定!I19</f>
        <v>180000</v>
      </c>
      <c r="O6" s="32">
        <f>M6</f>
        <v>180000</v>
      </c>
    </row>
    <row r="7" spans="2:16" x14ac:dyDescent="0.15">
      <c r="B7" s="213" t="s">
        <v>8</v>
      </c>
      <c r="C7" s="213"/>
      <c r="D7" s="212">
        <f>SUM(D8,D11,D14)</f>
        <v>340000</v>
      </c>
      <c r="E7" s="212">
        <f t="shared" ref="E7:O7" si="3">SUM(E8,E11,E14)</f>
        <v>358000</v>
      </c>
      <c r="F7" s="212">
        <f t="shared" si="3"/>
        <v>375000</v>
      </c>
      <c r="G7" s="212">
        <f t="shared" si="3"/>
        <v>191000</v>
      </c>
      <c r="H7" s="212">
        <f t="shared" si="3"/>
        <v>191000</v>
      </c>
      <c r="I7" s="212">
        <f t="shared" si="3"/>
        <v>404000</v>
      </c>
      <c r="J7" s="212">
        <f t="shared" si="3"/>
        <v>418000</v>
      </c>
      <c r="K7" s="212">
        <f t="shared" si="3"/>
        <v>432000</v>
      </c>
      <c r="L7" s="212">
        <f t="shared" si="3"/>
        <v>446000</v>
      </c>
      <c r="M7" s="212">
        <f t="shared" si="3"/>
        <v>460000</v>
      </c>
      <c r="N7" s="209"/>
      <c r="O7" s="212">
        <f t="shared" si="3"/>
        <v>460000</v>
      </c>
    </row>
    <row r="8" spans="2:16" x14ac:dyDescent="0.15">
      <c r="C8" s="20" t="str">
        <f>財務数値!C8</f>
        <v>AAAA事業</v>
      </c>
      <c r="D8" s="24">
        <f>SUM(D10:D11)</f>
        <v>200000</v>
      </c>
      <c r="E8" s="24">
        <f t="shared" ref="E8:O8" si="4">SUM(E10:E11)</f>
        <v>212000</v>
      </c>
      <c r="F8" s="24">
        <f t="shared" si="4"/>
        <v>220000</v>
      </c>
      <c r="G8" s="24">
        <f t="shared" si="4"/>
        <v>112000</v>
      </c>
      <c r="H8" s="24">
        <f t="shared" si="4"/>
        <v>112000</v>
      </c>
      <c r="I8" s="24">
        <f>SUM(I10:I11)</f>
        <v>240000</v>
      </c>
      <c r="J8" s="24">
        <f t="shared" si="4"/>
        <v>248000</v>
      </c>
      <c r="K8" s="24">
        <f t="shared" si="4"/>
        <v>256000</v>
      </c>
      <c r="L8" s="24">
        <f t="shared" si="4"/>
        <v>264000</v>
      </c>
      <c r="M8" s="24">
        <f t="shared" si="4"/>
        <v>272000</v>
      </c>
      <c r="O8" s="24">
        <f t="shared" si="4"/>
        <v>272000</v>
      </c>
    </row>
    <row r="9" spans="2:16" s="67" customFormat="1" x14ac:dyDescent="0.15">
      <c r="C9" s="164" t="s">
        <v>162</v>
      </c>
      <c r="D9" s="165">
        <f>D8/D$3</f>
        <v>0.33333333333333331</v>
      </c>
      <c r="E9" s="165">
        <f t="shared" ref="E9:O9" si="5">E8/E$3</f>
        <v>0.32121212121212123</v>
      </c>
      <c r="F9" s="165">
        <f t="shared" si="5"/>
        <v>0.30555555555555558</v>
      </c>
      <c r="G9" s="165">
        <f t="shared" si="5"/>
        <v>0.28717948717948716</v>
      </c>
      <c r="H9" s="165">
        <f t="shared" si="5"/>
        <v>0.28717948717948716</v>
      </c>
      <c r="I9" s="165">
        <f t="shared" si="5"/>
        <v>0.29268292682926828</v>
      </c>
      <c r="J9" s="165">
        <f t="shared" si="5"/>
        <v>0.28505747126436781</v>
      </c>
      <c r="K9" s="165">
        <f t="shared" si="5"/>
        <v>0.27826086956521739</v>
      </c>
      <c r="L9" s="165">
        <f t="shared" si="5"/>
        <v>0.27216494845360822</v>
      </c>
      <c r="M9" s="165">
        <f t="shared" si="5"/>
        <v>0.26666666666666666</v>
      </c>
      <c r="O9" s="165">
        <f t="shared" si="5"/>
        <v>0.26666666666666666</v>
      </c>
      <c r="P9" s="161"/>
    </row>
    <row r="10" spans="2:16" x14ac:dyDescent="0.15">
      <c r="C10" s="51" t="str">
        <f>財務数値!C9</f>
        <v>変動費</v>
      </c>
      <c r="D10" s="5">
        <f>財務数値!D9</f>
        <v>120000</v>
      </c>
      <c r="E10" s="5">
        <f>財務数値!E9</f>
        <v>132000</v>
      </c>
      <c r="F10" s="5">
        <f>財務数値!F9</f>
        <v>140000</v>
      </c>
      <c r="G10" s="5">
        <f>財務数値!G9</f>
        <v>72000</v>
      </c>
      <c r="H10" s="54">
        <f>財務数値!H9*Parameter設定!D25</f>
        <v>72000</v>
      </c>
      <c r="I10" s="54">
        <f>財務数値!I9*Parameter設定!E25</f>
        <v>160000</v>
      </c>
      <c r="J10" s="54">
        <f>財務数値!J9*Parameter設定!F25</f>
        <v>168000</v>
      </c>
      <c r="K10" s="54">
        <f>財務数値!K9*Parameter設定!G25</f>
        <v>176000</v>
      </c>
      <c r="L10" s="54">
        <f>財務数値!L9*Parameter設定!H25</f>
        <v>184000</v>
      </c>
      <c r="M10" s="54">
        <f>財務数値!M9*Parameter設定!I25</f>
        <v>192000</v>
      </c>
      <c r="O10" s="32">
        <f>M10</f>
        <v>192000</v>
      </c>
    </row>
    <row r="11" spans="2:16" x14ac:dyDescent="0.15">
      <c r="C11" s="51" t="str">
        <f>財務数値!C10</f>
        <v>固定費</v>
      </c>
      <c r="D11" s="5">
        <f>財務数値!D10</f>
        <v>80000</v>
      </c>
      <c r="E11" s="5">
        <f>財務数値!E10</f>
        <v>80000</v>
      </c>
      <c r="F11" s="5">
        <f>財務数値!F10</f>
        <v>80000</v>
      </c>
      <c r="G11" s="5">
        <f>財務数値!G10</f>
        <v>40000</v>
      </c>
      <c r="H11" s="54">
        <f>財務数値!H10*Parameter設定!D26</f>
        <v>40000</v>
      </c>
      <c r="I11" s="54">
        <f>財務数値!I10*Parameter設定!E26</f>
        <v>80000</v>
      </c>
      <c r="J11" s="54">
        <f>財務数値!J10*Parameter設定!F26</f>
        <v>80000</v>
      </c>
      <c r="K11" s="54">
        <f>財務数値!K10*Parameter設定!G26</f>
        <v>80000</v>
      </c>
      <c r="L11" s="54">
        <f>財務数値!L10*Parameter設定!H26</f>
        <v>80000</v>
      </c>
      <c r="M11" s="54">
        <f>財務数値!M10*Parameter設定!I26</f>
        <v>80000</v>
      </c>
      <c r="O11" s="32">
        <f>M11</f>
        <v>80000</v>
      </c>
    </row>
    <row r="12" spans="2:16" x14ac:dyDescent="0.15">
      <c r="C12" s="20" t="str">
        <f>財務数値!C11</f>
        <v>BBBB事業</v>
      </c>
      <c r="D12" s="24">
        <f>SUM(D14:D15)</f>
        <v>120000</v>
      </c>
      <c r="E12" s="24">
        <f t="shared" ref="E12:M12" si="6">SUM(E14:E15)</f>
        <v>126000</v>
      </c>
      <c r="F12" s="24">
        <f t="shared" si="6"/>
        <v>135000</v>
      </c>
      <c r="G12" s="24">
        <f t="shared" si="6"/>
        <v>69000</v>
      </c>
      <c r="H12" s="24">
        <f t="shared" si="6"/>
        <v>69000</v>
      </c>
      <c r="I12" s="24">
        <f t="shared" si="6"/>
        <v>144000</v>
      </c>
      <c r="J12" s="24">
        <f t="shared" si="6"/>
        <v>150000</v>
      </c>
      <c r="K12" s="24">
        <f t="shared" si="6"/>
        <v>156000</v>
      </c>
      <c r="L12" s="24">
        <f t="shared" si="6"/>
        <v>162000</v>
      </c>
      <c r="M12" s="24">
        <f t="shared" si="6"/>
        <v>168000</v>
      </c>
      <c r="O12" s="24">
        <f t="shared" ref="O12" si="7">SUM(O14:O15)</f>
        <v>168000</v>
      </c>
    </row>
    <row r="13" spans="2:16" s="67" customFormat="1" x14ac:dyDescent="0.15">
      <c r="C13" s="164" t="s">
        <v>162</v>
      </c>
      <c r="D13" s="165">
        <f>D12/D$3</f>
        <v>0.2</v>
      </c>
      <c r="E13" s="165">
        <f t="shared" ref="E13" si="8">E12/E$3</f>
        <v>0.19090909090909092</v>
      </c>
      <c r="F13" s="165">
        <f t="shared" ref="F13" si="9">F12/F$3</f>
        <v>0.1875</v>
      </c>
      <c r="G13" s="165">
        <f t="shared" ref="G13" si="10">G12/G$3</f>
        <v>0.17692307692307693</v>
      </c>
      <c r="H13" s="165">
        <f t="shared" ref="H13" si="11">H12/H$3</f>
        <v>0.17692307692307693</v>
      </c>
      <c r="I13" s="165">
        <f t="shared" ref="I13" si="12">I12/I$3</f>
        <v>0.17560975609756097</v>
      </c>
      <c r="J13" s="165">
        <f t="shared" ref="J13" si="13">J12/J$3</f>
        <v>0.17241379310344829</v>
      </c>
      <c r="K13" s="165">
        <f t="shared" ref="K13" si="14">K12/K$3</f>
        <v>0.16956521739130434</v>
      </c>
      <c r="L13" s="165">
        <f t="shared" ref="L13" si="15">L12/L$3</f>
        <v>0.1670103092783505</v>
      </c>
      <c r="M13" s="165">
        <f t="shared" ref="M13" si="16">M12/M$3</f>
        <v>0.16470588235294117</v>
      </c>
      <c r="O13" s="165">
        <f t="shared" ref="O13" si="17">O12/O$3</f>
        <v>0.16470588235294117</v>
      </c>
      <c r="P13" s="161"/>
    </row>
    <row r="14" spans="2:16" x14ac:dyDescent="0.15">
      <c r="C14" s="51" t="str">
        <f>財務数値!C12</f>
        <v>変動費</v>
      </c>
      <c r="D14" s="5">
        <f>財務数値!D12</f>
        <v>60000</v>
      </c>
      <c r="E14" s="5">
        <f>財務数値!E12</f>
        <v>66000</v>
      </c>
      <c r="F14" s="5">
        <f>財務数値!F12</f>
        <v>75000</v>
      </c>
      <c r="G14" s="5">
        <f>財務数値!G12</f>
        <v>39000</v>
      </c>
      <c r="H14" s="54">
        <f>財務数値!H12*Parameter設定!D28</f>
        <v>39000</v>
      </c>
      <c r="I14" s="54">
        <f>財務数値!I12*Parameter設定!E28</f>
        <v>84000</v>
      </c>
      <c r="J14" s="54">
        <f>財務数値!J12*Parameter設定!F28</f>
        <v>90000</v>
      </c>
      <c r="K14" s="54">
        <f>財務数値!K12*Parameter設定!G28</f>
        <v>96000</v>
      </c>
      <c r="L14" s="54">
        <f>財務数値!L12*Parameter設定!H28</f>
        <v>102000</v>
      </c>
      <c r="M14" s="54">
        <f>財務数値!M12*Parameter設定!I28</f>
        <v>108000</v>
      </c>
      <c r="O14" s="32">
        <f>M14</f>
        <v>108000</v>
      </c>
    </row>
    <row r="15" spans="2:16" x14ac:dyDescent="0.15">
      <c r="C15" s="51" t="str">
        <f>財務数値!C13</f>
        <v>固定費</v>
      </c>
      <c r="D15" s="5">
        <f>財務数値!D13</f>
        <v>60000</v>
      </c>
      <c r="E15" s="5">
        <f>財務数値!E13</f>
        <v>60000</v>
      </c>
      <c r="F15" s="5">
        <f>財務数値!F13</f>
        <v>60000</v>
      </c>
      <c r="G15" s="5">
        <f>財務数値!G13</f>
        <v>30000</v>
      </c>
      <c r="H15" s="54">
        <f>財務数値!H13*Parameter設定!D29</f>
        <v>30000</v>
      </c>
      <c r="I15" s="54">
        <f>財務数値!I13*Parameter設定!E29</f>
        <v>60000</v>
      </c>
      <c r="J15" s="54">
        <f>財務数値!J13*Parameter設定!F29</f>
        <v>60000</v>
      </c>
      <c r="K15" s="54">
        <f>財務数値!K13*Parameter設定!G29</f>
        <v>60000</v>
      </c>
      <c r="L15" s="54">
        <f>財務数値!L13*Parameter設定!H29</f>
        <v>60000</v>
      </c>
      <c r="M15" s="54">
        <f>財務数値!M13*Parameter設定!I29</f>
        <v>60000</v>
      </c>
      <c r="O15" s="32">
        <f>M15</f>
        <v>60000</v>
      </c>
    </row>
    <row r="16" spans="2:16" x14ac:dyDescent="0.15">
      <c r="C16" s="20" t="str">
        <f>財務数値!C14</f>
        <v>CCCC事業</v>
      </c>
      <c r="D16" s="24">
        <f>SUM(D18:D19)</f>
        <v>110000</v>
      </c>
      <c r="E16" s="24">
        <f t="shared" ref="E16:M16" si="18">SUM(E18:E19)</f>
        <v>116000</v>
      </c>
      <c r="F16" s="24">
        <f t="shared" si="18"/>
        <v>122000</v>
      </c>
      <c r="G16" s="24">
        <f t="shared" si="18"/>
        <v>73000</v>
      </c>
      <c r="H16" s="24">
        <f t="shared" si="18"/>
        <v>73000</v>
      </c>
      <c r="I16" s="24">
        <f t="shared" si="18"/>
        <v>134000</v>
      </c>
      <c r="J16" s="24">
        <f t="shared" si="18"/>
        <v>140000</v>
      </c>
      <c r="K16" s="24">
        <f t="shared" si="18"/>
        <v>146000</v>
      </c>
      <c r="L16" s="24">
        <f t="shared" si="18"/>
        <v>152000</v>
      </c>
      <c r="M16" s="24">
        <f t="shared" si="18"/>
        <v>158000</v>
      </c>
      <c r="O16" s="24">
        <f t="shared" ref="O16" si="19">SUM(O18:O19)</f>
        <v>158000</v>
      </c>
    </row>
    <row r="17" spans="2:16" s="67" customFormat="1" x14ac:dyDescent="0.15">
      <c r="C17" s="164" t="s">
        <v>162</v>
      </c>
      <c r="D17" s="165">
        <f>D16/D$3</f>
        <v>0.18333333333333332</v>
      </c>
      <c r="E17" s="165">
        <f t="shared" ref="E17" si="20">E16/E$3</f>
        <v>0.17575757575757575</v>
      </c>
      <c r="F17" s="165">
        <f t="shared" ref="F17" si="21">F16/F$3</f>
        <v>0.16944444444444445</v>
      </c>
      <c r="G17" s="165">
        <f t="shared" ref="G17" si="22">G16/G$3</f>
        <v>0.18717948717948718</v>
      </c>
      <c r="H17" s="165">
        <f t="shared" ref="H17" si="23">H16/H$3</f>
        <v>0.18717948717948718</v>
      </c>
      <c r="I17" s="165">
        <f t="shared" ref="I17" si="24">I16/I$3</f>
        <v>0.16341463414634147</v>
      </c>
      <c r="J17" s="165">
        <f t="shared" ref="J17" si="25">J16/J$3</f>
        <v>0.16091954022988506</v>
      </c>
      <c r="K17" s="165">
        <f t="shared" ref="K17" si="26">K16/K$3</f>
        <v>0.15869565217391304</v>
      </c>
      <c r="L17" s="165">
        <f t="shared" ref="L17" si="27">L16/L$3</f>
        <v>0.15670103092783505</v>
      </c>
      <c r="M17" s="165">
        <f t="shared" ref="M17" si="28">M16/M$3</f>
        <v>0.15490196078431373</v>
      </c>
      <c r="O17" s="165">
        <f t="shared" ref="O17" si="29">O16/O$3</f>
        <v>0.15490196078431373</v>
      </c>
      <c r="P17" s="161"/>
    </row>
    <row r="18" spans="2:16" x14ac:dyDescent="0.15">
      <c r="C18" s="51" t="str">
        <f>財務数値!C15</f>
        <v>変動費</v>
      </c>
      <c r="D18" s="5">
        <f>財務数値!D15</f>
        <v>60000</v>
      </c>
      <c r="E18" s="5">
        <f>財務数値!E15</f>
        <v>66000</v>
      </c>
      <c r="F18" s="5">
        <f>財務数値!F15</f>
        <v>72000</v>
      </c>
      <c r="G18" s="5">
        <f>財務数値!G15</f>
        <v>48000</v>
      </c>
      <c r="H18" s="54">
        <f>財務数値!H15*Parameter設定!D31</f>
        <v>48000</v>
      </c>
      <c r="I18" s="54">
        <f>財務数値!I15*Parameter設定!E31</f>
        <v>84000</v>
      </c>
      <c r="J18" s="54">
        <f>財務数値!J15*Parameter設定!F31</f>
        <v>90000</v>
      </c>
      <c r="K18" s="54">
        <f>財務数値!K15*Parameter設定!G31</f>
        <v>96000</v>
      </c>
      <c r="L18" s="54">
        <f>財務数値!L15*Parameter設定!H31</f>
        <v>102000</v>
      </c>
      <c r="M18" s="54">
        <f>財務数値!M15*Parameter設定!I31</f>
        <v>108000</v>
      </c>
      <c r="O18" s="32">
        <f>M18</f>
        <v>108000</v>
      </c>
    </row>
    <row r="19" spans="2:16" x14ac:dyDescent="0.15">
      <c r="C19" s="51" t="str">
        <f>財務数値!C16</f>
        <v>固定費</v>
      </c>
      <c r="D19" s="5">
        <f>財務数値!D16</f>
        <v>50000</v>
      </c>
      <c r="E19" s="5">
        <f>財務数値!E16</f>
        <v>50000</v>
      </c>
      <c r="F19" s="5">
        <f>財務数値!F16</f>
        <v>50000</v>
      </c>
      <c r="G19" s="5">
        <f>財務数値!G16</f>
        <v>25000</v>
      </c>
      <c r="H19" s="54">
        <f>財務数値!H16*Parameter設定!D32</f>
        <v>25000</v>
      </c>
      <c r="I19" s="54">
        <f>財務数値!I16*Parameter設定!E32</f>
        <v>50000</v>
      </c>
      <c r="J19" s="54">
        <f>財務数値!J16*Parameter設定!F32</f>
        <v>50000</v>
      </c>
      <c r="K19" s="54">
        <f>財務数値!K16*Parameter設定!G32</f>
        <v>50000</v>
      </c>
      <c r="L19" s="54">
        <f>財務数値!L16*Parameter設定!H32</f>
        <v>50000</v>
      </c>
      <c r="M19" s="54">
        <f>財務数値!M16*Parameter設定!I32</f>
        <v>50000</v>
      </c>
      <c r="O19" s="32">
        <f>M19</f>
        <v>50000</v>
      </c>
    </row>
    <row r="20" spans="2:16" x14ac:dyDescent="0.15">
      <c r="B20" s="8" t="s">
        <v>10</v>
      </c>
      <c r="C20" s="8"/>
      <c r="D20" s="214">
        <f>SUM(D22:D26)</f>
        <v>170000.30000000002</v>
      </c>
      <c r="E20" s="214">
        <f t="shared" ref="E20:M20" si="30">SUM(E22:E26)</f>
        <v>206000.3212121212</v>
      </c>
      <c r="F20" s="214">
        <f t="shared" si="30"/>
        <v>243000.34027777778</v>
      </c>
      <c r="G20" s="214">
        <f t="shared" si="30"/>
        <v>136000.33076923079</v>
      </c>
      <c r="H20" s="214">
        <f t="shared" si="30"/>
        <v>136000.33076923079</v>
      </c>
      <c r="I20" s="214">
        <f t="shared" si="30"/>
        <v>302000.36097560974</v>
      </c>
      <c r="J20" s="214">
        <f t="shared" si="30"/>
        <v>332000.37011494249</v>
      </c>
      <c r="K20" s="214">
        <f t="shared" si="30"/>
        <v>362000.37826086959</v>
      </c>
      <c r="L20" s="214">
        <f t="shared" si="30"/>
        <v>392000.38556701032</v>
      </c>
      <c r="M20" s="214">
        <f t="shared" si="30"/>
        <v>422000.39215686277</v>
      </c>
      <c r="O20" s="214">
        <f>SUM(O22:O26)</f>
        <v>422000.39215686277</v>
      </c>
    </row>
    <row r="21" spans="2:16" s="67" customFormat="1" x14ac:dyDescent="0.15">
      <c r="B21" s="160"/>
      <c r="C21" s="162" t="s">
        <v>162</v>
      </c>
      <c r="D21" s="163">
        <f t="shared" ref="D21:M21" si="31">D20/D$3</f>
        <v>0.28333383333333334</v>
      </c>
      <c r="E21" s="163">
        <f t="shared" si="31"/>
        <v>0.31212169880624424</v>
      </c>
      <c r="F21" s="163">
        <f t="shared" si="31"/>
        <v>0.33750047260802468</v>
      </c>
      <c r="G21" s="163">
        <f t="shared" si="31"/>
        <v>0.3487187968441815</v>
      </c>
      <c r="H21" s="163">
        <f t="shared" si="31"/>
        <v>0.3487187968441815</v>
      </c>
      <c r="I21" s="163">
        <f t="shared" si="31"/>
        <v>0.3682931231409875</v>
      </c>
      <c r="J21" s="163">
        <f t="shared" si="31"/>
        <v>0.38160962082177297</v>
      </c>
      <c r="K21" s="163">
        <f t="shared" si="31"/>
        <v>0.39347867202268433</v>
      </c>
      <c r="L21" s="163">
        <f t="shared" si="31"/>
        <v>0.40412410883196942</v>
      </c>
      <c r="M21" s="163">
        <f t="shared" si="31"/>
        <v>0.41372587466359095</v>
      </c>
      <c r="O21" s="163">
        <f>O20/O$3</f>
        <v>0.41372587466359095</v>
      </c>
      <c r="P21" s="161"/>
    </row>
    <row r="22" spans="2:16" x14ac:dyDescent="0.15">
      <c r="C22" s="1" t="s">
        <v>154</v>
      </c>
      <c r="D22" s="5">
        <f>D4-D8</f>
        <v>100000</v>
      </c>
      <c r="E22" s="5">
        <f t="shared" ref="E22:M22" si="32">E4-E8</f>
        <v>118000</v>
      </c>
      <c r="F22" s="5">
        <f t="shared" si="32"/>
        <v>130000</v>
      </c>
      <c r="G22" s="5">
        <f>G4-G8</f>
        <v>68000</v>
      </c>
      <c r="H22" s="5">
        <f t="shared" si="32"/>
        <v>68000</v>
      </c>
      <c r="I22" s="5">
        <f>I4-I8</f>
        <v>160000</v>
      </c>
      <c r="J22" s="5">
        <f t="shared" si="32"/>
        <v>172000</v>
      </c>
      <c r="K22" s="5">
        <f t="shared" si="32"/>
        <v>184000</v>
      </c>
      <c r="L22" s="5">
        <f t="shared" si="32"/>
        <v>196000</v>
      </c>
      <c r="M22" s="5">
        <f t="shared" si="32"/>
        <v>208000</v>
      </c>
      <c r="O22" s="5">
        <f t="shared" ref="O22" si="33">O4-O8</f>
        <v>208000</v>
      </c>
      <c r="P22" s="15"/>
    </row>
    <row r="23" spans="2:16" s="67" customFormat="1" x14ac:dyDescent="0.15">
      <c r="C23" s="164" t="s">
        <v>162</v>
      </c>
      <c r="D23" s="165">
        <f>D22/D$3</f>
        <v>0.16666666666666666</v>
      </c>
      <c r="E23" s="165">
        <f t="shared" ref="E23:O27" si="34">E22/E$3</f>
        <v>0.1787878787878788</v>
      </c>
      <c r="F23" s="165">
        <f t="shared" si="34"/>
        <v>0.18055555555555555</v>
      </c>
      <c r="G23" s="165">
        <f t="shared" si="34"/>
        <v>0.17435897435897435</v>
      </c>
      <c r="H23" s="165">
        <f t="shared" si="34"/>
        <v>0.17435897435897435</v>
      </c>
      <c r="I23" s="165">
        <f t="shared" si="34"/>
        <v>0.1951219512195122</v>
      </c>
      <c r="J23" s="165">
        <f t="shared" si="34"/>
        <v>0.19770114942528735</v>
      </c>
      <c r="K23" s="165">
        <f t="shared" si="34"/>
        <v>0.2</v>
      </c>
      <c r="L23" s="165">
        <f t="shared" si="34"/>
        <v>0.2020618556701031</v>
      </c>
      <c r="M23" s="165">
        <f t="shared" si="34"/>
        <v>0.20392156862745098</v>
      </c>
      <c r="O23" s="165">
        <f t="shared" si="34"/>
        <v>0.20392156862745098</v>
      </c>
      <c r="P23" s="161"/>
    </row>
    <row r="24" spans="2:16" x14ac:dyDescent="0.15">
      <c r="C24" s="1" t="s">
        <v>155</v>
      </c>
      <c r="D24" s="5">
        <f>D5-D12</f>
        <v>80000</v>
      </c>
      <c r="E24" s="5">
        <f t="shared" ref="E24:M24" si="35">E5-E12</f>
        <v>94000</v>
      </c>
      <c r="F24" s="5">
        <f t="shared" si="35"/>
        <v>115000</v>
      </c>
      <c r="G24" s="5">
        <f>G5-G12</f>
        <v>61000</v>
      </c>
      <c r="H24" s="5">
        <f t="shared" si="35"/>
        <v>61000</v>
      </c>
      <c r="I24" s="5">
        <f t="shared" si="35"/>
        <v>136000</v>
      </c>
      <c r="J24" s="5">
        <f t="shared" si="35"/>
        <v>150000</v>
      </c>
      <c r="K24" s="5">
        <f t="shared" si="35"/>
        <v>164000</v>
      </c>
      <c r="L24" s="5">
        <f t="shared" si="35"/>
        <v>178000</v>
      </c>
      <c r="M24" s="5">
        <f t="shared" si="35"/>
        <v>192000</v>
      </c>
      <c r="O24" s="5">
        <f t="shared" ref="O24" si="36">O5-O12</f>
        <v>192000</v>
      </c>
      <c r="P24" s="15"/>
    </row>
    <row r="25" spans="2:16" s="67" customFormat="1" x14ac:dyDescent="0.15">
      <c r="C25" s="164" t="s">
        <v>162</v>
      </c>
      <c r="D25" s="165">
        <f>D24/D$3</f>
        <v>0.13333333333333333</v>
      </c>
      <c r="E25" s="165">
        <f t="shared" si="34"/>
        <v>0.14242424242424243</v>
      </c>
      <c r="F25" s="165">
        <f t="shared" si="34"/>
        <v>0.15972222222222221</v>
      </c>
      <c r="G25" s="165">
        <f t="shared" si="34"/>
        <v>0.15641025641025641</v>
      </c>
      <c r="H25" s="165">
        <f t="shared" si="34"/>
        <v>0.15641025641025641</v>
      </c>
      <c r="I25" s="165">
        <f t="shared" si="34"/>
        <v>0.16585365853658537</v>
      </c>
      <c r="J25" s="165">
        <f t="shared" si="34"/>
        <v>0.17241379310344829</v>
      </c>
      <c r="K25" s="165">
        <f t="shared" si="34"/>
        <v>0.17826086956521739</v>
      </c>
      <c r="L25" s="165">
        <f t="shared" si="34"/>
        <v>0.18350515463917524</v>
      </c>
      <c r="M25" s="165">
        <f t="shared" si="34"/>
        <v>0.18823529411764706</v>
      </c>
      <c r="O25" s="165">
        <f t="shared" si="34"/>
        <v>0.18823529411764706</v>
      </c>
      <c r="P25" s="161"/>
    </row>
    <row r="26" spans="2:16" x14ac:dyDescent="0.15">
      <c r="C26" s="1" t="s">
        <v>156</v>
      </c>
      <c r="D26" s="5">
        <f>D6-D16</f>
        <v>-10000</v>
      </c>
      <c r="E26" s="5">
        <f t="shared" ref="E26:M26" si="37">E6-E16</f>
        <v>-6000</v>
      </c>
      <c r="F26" s="5">
        <f t="shared" si="37"/>
        <v>-2000</v>
      </c>
      <c r="G26" s="5">
        <f>G6-G16</f>
        <v>7000</v>
      </c>
      <c r="H26" s="5">
        <f t="shared" si="37"/>
        <v>7000</v>
      </c>
      <c r="I26" s="5">
        <f t="shared" si="37"/>
        <v>6000</v>
      </c>
      <c r="J26" s="5">
        <f t="shared" si="37"/>
        <v>10000</v>
      </c>
      <c r="K26" s="5">
        <f t="shared" si="37"/>
        <v>14000</v>
      </c>
      <c r="L26" s="5">
        <f t="shared" si="37"/>
        <v>18000</v>
      </c>
      <c r="M26" s="5">
        <f t="shared" si="37"/>
        <v>22000</v>
      </c>
      <c r="O26" s="5">
        <f t="shared" ref="O26" si="38">O6-O16</f>
        <v>22000</v>
      </c>
      <c r="P26" s="15"/>
    </row>
    <row r="27" spans="2:16" s="67" customFormat="1" x14ac:dyDescent="0.15">
      <c r="C27" s="164" t="s">
        <v>162</v>
      </c>
      <c r="D27" s="165">
        <f>D26/D$3</f>
        <v>-1.6666666666666666E-2</v>
      </c>
      <c r="E27" s="165">
        <f t="shared" si="34"/>
        <v>-9.0909090909090905E-3</v>
      </c>
      <c r="F27" s="165">
        <f t="shared" si="34"/>
        <v>-2.7777777777777779E-3</v>
      </c>
      <c r="G27" s="165">
        <f t="shared" si="34"/>
        <v>1.7948717948717947E-2</v>
      </c>
      <c r="H27" s="165">
        <f t="shared" si="34"/>
        <v>1.7948717948717947E-2</v>
      </c>
      <c r="I27" s="165">
        <f t="shared" si="34"/>
        <v>7.3170731707317077E-3</v>
      </c>
      <c r="J27" s="165">
        <f t="shared" si="34"/>
        <v>1.1494252873563218E-2</v>
      </c>
      <c r="K27" s="165">
        <f t="shared" si="34"/>
        <v>1.5217391304347827E-2</v>
      </c>
      <c r="L27" s="165">
        <f t="shared" si="34"/>
        <v>1.8556701030927835E-2</v>
      </c>
      <c r="M27" s="165">
        <f t="shared" si="34"/>
        <v>2.1568627450980392E-2</v>
      </c>
      <c r="O27" s="165">
        <f t="shared" si="34"/>
        <v>2.1568627450980392E-2</v>
      </c>
      <c r="P27" s="161"/>
    </row>
    <row r="28" spans="2:16" x14ac:dyDescent="0.15">
      <c r="B28" s="8" t="s">
        <v>11</v>
      </c>
      <c r="C28" s="8"/>
      <c r="D28" s="28">
        <f t="shared" ref="D28:M28" si="39">D29+D30</f>
        <v>163100</v>
      </c>
      <c r="E28" s="28">
        <f t="shared" si="39"/>
        <v>179035</v>
      </c>
      <c r="F28" s="28">
        <f t="shared" si="39"/>
        <v>196695</v>
      </c>
      <c r="G28" s="211">
        <f t="shared" si="39"/>
        <v>111381</v>
      </c>
      <c r="H28" s="211">
        <f t="shared" si="39"/>
        <v>111381</v>
      </c>
      <c r="I28" s="28">
        <f t="shared" si="39"/>
        <v>239795</v>
      </c>
      <c r="J28" s="28">
        <f t="shared" si="39"/>
        <v>254199</v>
      </c>
      <c r="K28" s="28">
        <f t="shared" si="39"/>
        <v>269044</v>
      </c>
      <c r="L28" s="28">
        <f t="shared" si="39"/>
        <v>284374</v>
      </c>
      <c r="M28" s="28">
        <f t="shared" si="39"/>
        <v>300236</v>
      </c>
      <c r="N28" s="53"/>
      <c r="O28" s="28">
        <f>O29+O30</f>
        <v>300236</v>
      </c>
      <c r="P28" s="53"/>
    </row>
    <row r="29" spans="2:16" x14ac:dyDescent="0.15">
      <c r="C29" s="22" t="str">
        <f>Parameter設定!N25</f>
        <v>変動費</v>
      </c>
      <c r="D29" s="53">
        <f>SUMIF(財務数値!$Q$23:$Q$39,Parameter設定!$N$25,財務数値!D$23:D$39)</f>
        <v>12300</v>
      </c>
      <c r="E29" s="53">
        <f>SUMIF(財務数値!$Q$23:$Q$39,Parameter設定!$N$25,財務数値!E$23:E$39)</f>
        <v>13530</v>
      </c>
      <c r="F29" s="53">
        <f>SUMIF(財務数値!$Q$23:$Q$39,Parameter設定!$N$25,財務数値!F$23:F$39)</f>
        <v>14883</v>
      </c>
      <c r="G29" s="53">
        <f>SUMIF(財務数値!$Q$23:$Q$39,Parameter設定!$N$25,財務数値!G$23:G$39)</f>
        <v>8184</v>
      </c>
      <c r="H29" s="53">
        <f>SUMIF(財務数値!$Q$23:$Q$39,Parameter設定!$N$25,財務数値!H$23:H$39)*Parameter設定!D34</f>
        <v>8184</v>
      </c>
      <c r="I29" s="53">
        <f>SUMIF(財務数値!$Q$23:$Q$39,Parameter設定!$N$25,財務数値!I$23:I$39)*Parameter設定!E34</f>
        <v>19808</v>
      </c>
      <c r="J29" s="53">
        <f>SUMIF(財務数値!$Q$23:$Q$39,Parameter設定!$N$25,財務数値!J$23:J$39)*Parameter設定!F34</f>
        <v>21788</v>
      </c>
      <c r="K29" s="53">
        <f>SUMIF(財務数値!$Q$23:$Q$39,Parameter設定!$N$25,財務数値!K$23:K$39)*Parameter設定!G34</f>
        <v>23967</v>
      </c>
      <c r="L29" s="53">
        <f>SUMIF(財務数値!$Q$23:$Q$39,Parameter設定!$N$25,財務数値!L$23:L$39)*Parameter設定!H34</f>
        <v>26364</v>
      </c>
      <c r="M29" s="53">
        <f>SUMIF(財務数値!$Q$23:$Q$39,Parameter設定!$N$25,財務数値!M$23:M$39)*Parameter設定!I34</f>
        <v>29000</v>
      </c>
      <c r="N29" s="52"/>
      <c r="O29" s="32">
        <f>M29</f>
        <v>29000</v>
      </c>
      <c r="P29" s="52"/>
    </row>
    <row r="30" spans="2:16" x14ac:dyDescent="0.15">
      <c r="C30" s="22" t="str">
        <f>Parameter設定!N26</f>
        <v>固定費</v>
      </c>
      <c r="D30" s="238">
        <f>SUMIF(財務数値!$Q$23:$Q$39,Parameter設定!$N$26,財務数値!D$23:D$39)</f>
        <v>150800</v>
      </c>
      <c r="E30" s="238">
        <f>SUMIF(財務数値!$Q$23:$Q$39,Parameter設定!$N$26,財務数値!E$23:E$39)</f>
        <v>165505</v>
      </c>
      <c r="F30" s="238">
        <f>SUMIF(財務数値!$Q$23:$Q$39,Parameter設定!$N$26,財務数値!F$23:F$39)</f>
        <v>181812</v>
      </c>
      <c r="G30" s="238">
        <f>SUMIF(財務数値!$Q$23:$Q$39,Parameter設定!$N$26,財務数値!G$23:G$39)</f>
        <v>103197</v>
      </c>
      <c r="H30" s="238">
        <f>SUMIF(財務数値!$Q$23:$Q$39,Parameter設定!$N$26,財務数値!H$23:H$39)*Parameter設定!D35</f>
        <v>103197</v>
      </c>
      <c r="I30" s="238">
        <f>SUMIF(財務数値!$Q$23:$Q$39,Parameter設定!$N$26,財務数値!I$23:I$39)*Parameter設定!E35</f>
        <v>219987</v>
      </c>
      <c r="J30" s="238">
        <f>SUMIF(財務数値!$Q$23:$Q$39,Parameter設定!$N$26,財務数値!J$23:J$39)*Parameter設定!F35</f>
        <v>232411</v>
      </c>
      <c r="K30" s="238">
        <f>SUMIF(財務数値!$Q$23:$Q$39,Parameter設定!$N$26,財務数値!K$23:K$39)*Parameter設定!G35</f>
        <v>245077</v>
      </c>
      <c r="L30" s="238">
        <f>SUMIF(財務数値!$Q$23:$Q$39,Parameter設定!$N$26,財務数値!L$23:L$39)*Parameter設定!H35</f>
        <v>258010</v>
      </c>
      <c r="M30" s="238">
        <f>SUMIF(財務数値!$Q$23:$Q$39,Parameter設定!$N$26,財務数値!M$23:M$39)*Parameter設定!I35</f>
        <v>271236</v>
      </c>
      <c r="O30" s="32">
        <f>M30</f>
        <v>271236</v>
      </c>
    </row>
    <row r="31" spans="2:16" x14ac:dyDescent="0.15">
      <c r="B31" s="8" t="s">
        <v>12</v>
      </c>
      <c r="C31" s="8"/>
      <c r="D31" s="29">
        <f>D20-D28</f>
        <v>6900.3000000000175</v>
      </c>
      <c r="E31" s="29">
        <f t="shared" ref="E31:L31" si="40">E20-E28</f>
        <v>26965.321212121198</v>
      </c>
      <c r="F31" s="29">
        <f t="shared" si="40"/>
        <v>46305.340277777781</v>
      </c>
      <c r="G31" s="29">
        <f t="shared" si="40"/>
        <v>24619.330769230786</v>
      </c>
      <c r="H31" s="29">
        <f t="shared" si="40"/>
        <v>24619.330769230786</v>
      </c>
      <c r="I31" s="29">
        <f t="shared" si="40"/>
        <v>62205.360975609743</v>
      </c>
      <c r="J31" s="29">
        <f t="shared" si="40"/>
        <v>77801.370114942489</v>
      </c>
      <c r="K31" s="29">
        <f t="shared" si="40"/>
        <v>92956.378260869591</v>
      </c>
      <c r="L31" s="29">
        <f t="shared" si="40"/>
        <v>107626.38556701032</v>
      </c>
      <c r="M31" s="29">
        <f>M20-M28</f>
        <v>121764.39215686277</v>
      </c>
      <c r="O31" s="29">
        <f>O20-O28</f>
        <v>121764.39215686277</v>
      </c>
    </row>
    <row r="32" spans="2:16" x14ac:dyDescent="0.15">
      <c r="B32" s="56"/>
      <c r="C32" s="1" t="str">
        <f>財務数値!C29</f>
        <v>減価償却費</v>
      </c>
      <c r="D32" s="17">
        <f>D56</f>
        <v>15000</v>
      </c>
      <c r="E32" s="17">
        <f t="shared" ref="E32:M32" si="41">E56</f>
        <v>20000</v>
      </c>
      <c r="F32" s="17">
        <f t="shared" si="41"/>
        <v>25000</v>
      </c>
      <c r="G32" s="17">
        <f t="shared" si="41"/>
        <v>12500</v>
      </c>
      <c r="H32" s="17">
        <f t="shared" si="41"/>
        <v>12500</v>
      </c>
      <c r="I32" s="17">
        <f t="shared" si="41"/>
        <v>14000</v>
      </c>
      <c r="J32" s="17">
        <f t="shared" si="41"/>
        <v>13000</v>
      </c>
      <c r="K32" s="17">
        <f t="shared" si="41"/>
        <v>12000</v>
      </c>
      <c r="L32" s="17">
        <f t="shared" si="41"/>
        <v>11000</v>
      </c>
      <c r="M32" s="17">
        <f t="shared" si="41"/>
        <v>10000</v>
      </c>
      <c r="O32" s="24">
        <f>M32</f>
        <v>10000</v>
      </c>
    </row>
    <row r="33" spans="2:15" x14ac:dyDescent="0.15">
      <c r="B33" s="56"/>
      <c r="C33" s="1" t="str">
        <f>財務数値!C56</f>
        <v>のれん償却費</v>
      </c>
      <c r="D33" s="17">
        <f>財務数値!D56</f>
        <v>0</v>
      </c>
      <c r="E33" s="17">
        <f>財務数値!E56</f>
        <v>0</v>
      </c>
      <c r="F33" s="17">
        <f>財務数値!F56</f>
        <v>0</v>
      </c>
      <c r="G33" s="17">
        <f>財務数値!G56</f>
        <v>0</v>
      </c>
      <c r="H33" s="17">
        <f>財務数値!H56</f>
        <v>0</v>
      </c>
      <c r="I33" s="17">
        <f>財務数値!I56</f>
        <v>0</v>
      </c>
      <c r="J33" s="17">
        <f>財務数値!J56</f>
        <v>0</v>
      </c>
      <c r="K33" s="17">
        <f>財務数値!K56</f>
        <v>0</v>
      </c>
      <c r="L33" s="17">
        <f>財務数値!L56</f>
        <v>0</v>
      </c>
      <c r="M33" s="17">
        <f>財務数値!M56</f>
        <v>0</v>
      </c>
      <c r="O33" s="24">
        <f>M33</f>
        <v>0</v>
      </c>
    </row>
    <row r="34" spans="2:15" x14ac:dyDescent="0.15">
      <c r="B34" s="8" t="s">
        <v>0</v>
      </c>
      <c r="C34" s="8"/>
      <c r="D34" s="60">
        <f>D31+D32</f>
        <v>21900.300000000017</v>
      </c>
      <c r="E34" s="60">
        <f t="shared" ref="E34:O34" si="42">E31+E32</f>
        <v>46965.321212121198</v>
      </c>
      <c r="F34" s="60">
        <f t="shared" si="42"/>
        <v>71305.340277777781</v>
      </c>
      <c r="G34" s="60">
        <f t="shared" si="42"/>
        <v>37119.330769230786</v>
      </c>
      <c r="H34" s="60">
        <f t="shared" si="42"/>
        <v>37119.330769230786</v>
      </c>
      <c r="I34" s="60">
        <f t="shared" si="42"/>
        <v>76205.360975609743</v>
      </c>
      <c r="J34" s="60">
        <f t="shared" si="42"/>
        <v>90801.370114942489</v>
      </c>
      <c r="K34" s="60">
        <f t="shared" si="42"/>
        <v>104956.37826086959</v>
      </c>
      <c r="L34" s="60">
        <f t="shared" si="42"/>
        <v>118626.38556701032</v>
      </c>
      <c r="M34" s="60">
        <f t="shared" si="42"/>
        <v>131764.39215686277</v>
      </c>
      <c r="O34" s="60">
        <f t="shared" si="42"/>
        <v>131764.39215686277</v>
      </c>
    </row>
    <row r="35" spans="2:15" s="22" customFormat="1" x14ac:dyDescent="0.15">
      <c r="B35" s="56" t="s">
        <v>88</v>
      </c>
      <c r="C35" s="22" t="s">
        <v>212</v>
      </c>
      <c r="D35" s="55">
        <f>D31*$C$36</f>
        <v>2112.8718600000057</v>
      </c>
      <c r="E35" s="55">
        <f t="shared" ref="E35:O35" si="43">E31*$C$36</f>
        <v>8256.7813551515119</v>
      </c>
      <c r="F35" s="55">
        <f t="shared" si="43"/>
        <v>14178.695193055557</v>
      </c>
      <c r="G35" s="55">
        <f t="shared" si="43"/>
        <v>7538.4390815384677</v>
      </c>
      <c r="H35" s="55">
        <f t="shared" si="43"/>
        <v>7538.4390815384677</v>
      </c>
      <c r="I35" s="55">
        <f t="shared" si="43"/>
        <v>19047.281530731703</v>
      </c>
      <c r="J35" s="55">
        <f t="shared" si="43"/>
        <v>23822.779529195392</v>
      </c>
      <c r="K35" s="55">
        <f t="shared" si="43"/>
        <v>28463.24302347827</v>
      </c>
      <c r="L35" s="55">
        <f t="shared" si="43"/>
        <v>32955.199260618567</v>
      </c>
      <c r="M35" s="55">
        <f t="shared" si="43"/>
        <v>37284.256878431384</v>
      </c>
      <c r="O35" s="55">
        <f t="shared" si="43"/>
        <v>37284.256878431384</v>
      </c>
    </row>
    <row r="36" spans="2:15" s="22" customFormat="1" x14ac:dyDescent="0.15">
      <c r="B36" s="56"/>
      <c r="C36" s="66">
        <v>0.30620000000000003</v>
      </c>
      <c r="D36" s="55"/>
      <c r="E36" s="55"/>
      <c r="F36" s="55"/>
      <c r="G36" s="55"/>
      <c r="H36" s="55"/>
      <c r="I36" s="55"/>
      <c r="J36" s="55"/>
      <c r="K36" s="55"/>
      <c r="L36" s="55"/>
      <c r="M36" s="55"/>
      <c r="O36" s="55"/>
    </row>
    <row r="37" spans="2:15" s="22" customFormat="1" x14ac:dyDescent="0.15">
      <c r="B37" s="8" t="s">
        <v>80</v>
      </c>
      <c r="C37" s="8"/>
      <c r="D37" s="60">
        <f>D31-D35</f>
        <v>4787.4281400000118</v>
      </c>
      <c r="E37" s="60">
        <f t="shared" ref="E37:O37" si="44">E31-E35</f>
        <v>18708.539856969684</v>
      </c>
      <c r="F37" s="60">
        <f t="shared" si="44"/>
        <v>32126.645084722222</v>
      </c>
      <c r="G37" s="60">
        <f t="shared" si="44"/>
        <v>17080.891687692318</v>
      </c>
      <c r="H37" s="60">
        <f t="shared" si="44"/>
        <v>17080.891687692318</v>
      </c>
      <c r="I37" s="60">
        <f t="shared" si="44"/>
        <v>43158.079444878036</v>
      </c>
      <c r="J37" s="60">
        <f t="shared" si="44"/>
        <v>53978.590585747093</v>
      </c>
      <c r="K37" s="60">
        <f t="shared" si="44"/>
        <v>64493.135237391325</v>
      </c>
      <c r="L37" s="60">
        <f t="shared" si="44"/>
        <v>74671.186306391755</v>
      </c>
      <c r="M37" s="60">
        <f t="shared" si="44"/>
        <v>84480.135278431379</v>
      </c>
      <c r="O37" s="60">
        <f t="shared" si="44"/>
        <v>84480.135278431379</v>
      </c>
    </row>
    <row r="38" spans="2:15" x14ac:dyDescent="0.15">
      <c r="B38" s="56" t="s">
        <v>78</v>
      </c>
      <c r="C38" s="1" t="s">
        <v>9</v>
      </c>
      <c r="D38" s="17">
        <f>D32</f>
        <v>15000</v>
      </c>
      <c r="E38" s="17">
        <f t="shared" ref="E38:O38" si="45">E32</f>
        <v>20000</v>
      </c>
      <c r="F38" s="17">
        <f t="shared" si="45"/>
        <v>25000</v>
      </c>
      <c r="G38" s="17">
        <f t="shared" si="45"/>
        <v>12500</v>
      </c>
      <c r="H38" s="17">
        <f t="shared" si="45"/>
        <v>12500</v>
      </c>
      <c r="I38" s="17">
        <f t="shared" si="45"/>
        <v>14000</v>
      </c>
      <c r="J38" s="17">
        <f t="shared" si="45"/>
        <v>13000</v>
      </c>
      <c r="K38" s="17">
        <f t="shared" si="45"/>
        <v>12000</v>
      </c>
      <c r="L38" s="17">
        <f t="shared" si="45"/>
        <v>11000</v>
      </c>
      <c r="M38" s="17">
        <f t="shared" si="45"/>
        <v>10000</v>
      </c>
      <c r="O38" s="17">
        <f t="shared" si="45"/>
        <v>10000</v>
      </c>
    </row>
    <row r="39" spans="2:15" x14ac:dyDescent="0.15">
      <c r="B39" s="56" t="s">
        <v>88</v>
      </c>
      <c r="C39" s="1" t="s">
        <v>207</v>
      </c>
      <c r="D39" s="5">
        <f t="shared" ref="D39:M39" si="46">SUM(D54:D55)</f>
        <v>30000</v>
      </c>
      <c r="E39" s="5">
        <f t="shared" si="46"/>
        <v>40000</v>
      </c>
      <c r="F39" s="5">
        <f t="shared" si="46"/>
        <v>30000</v>
      </c>
      <c r="G39" s="5">
        <f t="shared" si="46"/>
        <v>20000</v>
      </c>
      <c r="H39" s="5">
        <f t="shared" si="46"/>
        <v>15000</v>
      </c>
      <c r="I39" s="5">
        <f t="shared" si="46"/>
        <v>10000</v>
      </c>
      <c r="J39" s="5">
        <f t="shared" si="46"/>
        <v>10000</v>
      </c>
      <c r="K39" s="5">
        <f t="shared" si="46"/>
        <v>10000</v>
      </c>
      <c r="L39" s="5">
        <f t="shared" si="46"/>
        <v>10000</v>
      </c>
      <c r="M39" s="5">
        <f t="shared" si="46"/>
        <v>10000</v>
      </c>
      <c r="O39" s="5">
        <f>M39</f>
        <v>10000</v>
      </c>
    </row>
    <row r="40" spans="2:15" x14ac:dyDescent="0.15">
      <c r="B40" s="56" t="s">
        <v>89</v>
      </c>
      <c r="C40" s="1" t="s">
        <v>90</v>
      </c>
      <c r="D40" s="5" t="str">
        <f>D51</f>
        <v>-</v>
      </c>
      <c r="E40" s="5">
        <f t="shared" ref="E40:O40" si="47">E51</f>
        <v>5000</v>
      </c>
      <c r="F40" s="5">
        <f t="shared" si="47"/>
        <v>5000</v>
      </c>
      <c r="G40" s="17">
        <f t="shared" si="47"/>
        <v>10000</v>
      </c>
      <c r="H40" s="17">
        <f t="shared" si="47"/>
        <v>4471.2307431860245</v>
      </c>
      <c r="I40" s="5">
        <f t="shared" si="47"/>
        <v>7740.6534683577484</v>
      </c>
      <c r="J40" s="5">
        <f t="shared" si="47"/>
        <v>12125.488952209824</v>
      </c>
      <c r="K40" s="5">
        <f t="shared" si="47"/>
        <v>12125.488952209824</v>
      </c>
      <c r="L40" s="5">
        <f t="shared" si="47"/>
        <v>12125.488952209824</v>
      </c>
      <c r="M40" s="5">
        <f t="shared" si="47"/>
        <v>12125.488952209853</v>
      </c>
      <c r="O40" s="5">
        <f t="shared" si="47"/>
        <v>0</v>
      </c>
    </row>
    <row r="41" spans="2:15" x14ac:dyDescent="0.15">
      <c r="B41" s="70" t="s">
        <v>96</v>
      </c>
      <c r="C41" s="70"/>
      <c r="D41" s="30" t="s">
        <v>87</v>
      </c>
      <c r="E41" s="30">
        <f>E37+E38-E39+E40</f>
        <v>3708.5398569696845</v>
      </c>
      <c r="F41" s="30">
        <f t="shared" ref="F41:O41" si="48">F37+F38-F39+F40</f>
        <v>32126.645084722222</v>
      </c>
      <c r="G41" s="30">
        <f t="shared" si="48"/>
        <v>19580.891687692318</v>
      </c>
      <c r="H41" s="30">
        <f t="shared" si="48"/>
        <v>19052.122430878342</v>
      </c>
      <c r="I41" s="30">
        <f t="shared" si="48"/>
        <v>54898.732913235785</v>
      </c>
      <c r="J41" s="30">
        <f t="shared" si="48"/>
        <v>69104.079537956917</v>
      </c>
      <c r="K41" s="30">
        <f t="shared" si="48"/>
        <v>78618.624189601149</v>
      </c>
      <c r="L41" s="30">
        <f t="shared" si="48"/>
        <v>87796.675258601579</v>
      </c>
      <c r="M41" s="30">
        <f t="shared" si="48"/>
        <v>96605.624230641231</v>
      </c>
      <c r="N41" s="22"/>
      <c r="O41" s="30">
        <f t="shared" si="48"/>
        <v>84480.135278431379</v>
      </c>
    </row>
    <row r="42" spans="2:15" x14ac:dyDescent="0.15">
      <c r="D42" s="5"/>
      <c r="E42" s="5"/>
      <c r="F42" s="5"/>
      <c r="G42" s="5"/>
      <c r="H42" s="5"/>
      <c r="I42" s="5"/>
      <c r="J42" s="5"/>
      <c r="K42" s="5"/>
      <c r="L42" s="5"/>
      <c r="M42" s="5"/>
      <c r="O42" s="5"/>
    </row>
    <row r="43" spans="2:15" x14ac:dyDescent="0.15">
      <c r="B43" s="27" t="s">
        <v>91</v>
      </c>
      <c r="C43" s="27"/>
      <c r="D43" s="61"/>
      <c r="E43" s="61"/>
      <c r="F43" s="61"/>
      <c r="G43" s="61"/>
      <c r="H43" s="61"/>
      <c r="I43" s="61"/>
      <c r="J43" s="61"/>
      <c r="K43" s="61"/>
      <c r="L43" s="61"/>
      <c r="M43" s="61"/>
      <c r="O43" s="61"/>
    </row>
    <row r="44" spans="2:15" x14ac:dyDescent="0.15">
      <c r="B44" s="1" t="str">
        <f>財務数値!C62</f>
        <v>売掛金</v>
      </c>
      <c r="D44" s="5">
        <f>財務数値!D62</f>
        <v>65000</v>
      </c>
      <c r="E44" s="5">
        <f>財務数値!E62</f>
        <v>70000</v>
      </c>
      <c r="F44" s="5">
        <f>財務数値!F62</f>
        <v>75000</v>
      </c>
      <c r="G44" s="5">
        <f>財務数値!G62</f>
        <v>80000</v>
      </c>
      <c r="H44" s="5">
        <f>H45*H$3/365*2</f>
        <v>78604.797979797979</v>
      </c>
      <c r="I44" s="5">
        <f>I45*I$3/365</f>
        <v>82635.813260813258</v>
      </c>
      <c r="J44" s="5">
        <f t="shared" ref="J44:M44" si="49">J45*J$3/365</f>
        <v>87674.582362082365</v>
      </c>
      <c r="K44" s="5">
        <f t="shared" si="49"/>
        <v>92713.351463351471</v>
      </c>
      <c r="L44" s="5">
        <f t="shared" si="49"/>
        <v>97752.120564620564</v>
      </c>
      <c r="M44" s="5">
        <f t="shared" si="49"/>
        <v>102790.88966588968</v>
      </c>
      <c r="O44" s="5">
        <f>M44</f>
        <v>102790.88966588968</v>
      </c>
    </row>
    <row r="45" spans="2:15" s="67" customFormat="1" x14ac:dyDescent="0.15">
      <c r="B45" s="69" t="s">
        <v>93</v>
      </c>
      <c r="D45" s="68" t="s">
        <v>87</v>
      </c>
      <c r="E45" s="68">
        <f>(D44+E44)/2/E$3*365</f>
        <v>37.32954545454546</v>
      </c>
      <c r="F45" s="68">
        <f>(E44+F44)/2/F$3*365</f>
        <v>36.753472222222221</v>
      </c>
      <c r="G45" s="68">
        <f>(F44+G44)/2/G$3*365/2</f>
        <v>36.266025641025642</v>
      </c>
      <c r="H45" s="68">
        <f>AVERAGE($E$45:$G$45)</f>
        <v>36.783014439264441</v>
      </c>
      <c r="I45" s="68">
        <f>H45</f>
        <v>36.783014439264441</v>
      </c>
      <c r="J45" s="68">
        <f>I45</f>
        <v>36.783014439264441</v>
      </c>
      <c r="K45" s="68">
        <f t="shared" ref="K45:M47" si="50">J45</f>
        <v>36.783014439264441</v>
      </c>
      <c r="L45" s="68">
        <f t="shared" si="50"/>
        <v>36.783014439264441</v>
      </c>
      <c r="M45" s="68">
        <f t="shared" si="50"/>
        <v>36.783014439264441</v>
      </c>
      <c r="O45" s="68"/>
    </row>
    <row r="46" spans="2:15" x14ac:dyDescent="0.15">
      <c r="B46" s="1" t="str">
        <f>財務数値!C63</f>
        <v>棚卸資産</v>
      </c>
      <c r="D46" s="5">
        <f>財務数値!D63</f>
        <v>130000</v>
      </c>
      <c r="E46" s="5">
        <f>財務数値!E63</f>
        <v>135000</v>
      </c>
      <c r="F46" s="5">
        <f>財務数値!F63</f>
        <v>140000</v>
      </c>
      <c r="G46" s="5">
        <f>財務数値!G63</f>
        <v>150000</v>
      </c>
      <c r="H46" s="5">
        <f>H47*H$3/365*2</f>
        <v>150183.08080808082</v>
      </c>
      <c r="I46" s="5">
        <f>I47*I$3/365</f>
        <v>157884.77725977727</v>
      </c>
      <c r="J46" s="5">
        <f t="shared" ref="J46" si="51">J47*J$3/365</f>
        <v>167511.89782439783</v>
      </c>
      <c r="K46" s="5">
        <f t="shared" ref="K46" si="52">K47*K$3/365</f>
        <v>177139.0183890184</v>
      </c>
      <c r="L46" s="5">
        <f t="shared" ref="L46" si="53">L47*L$3/365</f>
        <v>186766.13895363896</v>
      </c>
      <c r="M46" s="5">
        <f t="shared" ref="M46" si="54">M47*M$3/365</f>
        <v>196393.25951825953</v>
      </c>
      <c r="O46" s="5">
        <f>M46</f>
        <v>196393.25951825953</v>
      </c>
    </row>
    <row r="47" spans="2:15" s="67" customFormat="1" x14ac:dyDescent="0.15">
      <c r="B47" s="69" t="s">
        <v>205</v>
      </c>
      <c r="D47" s="68" t="s">
        <v>1</v>
      </c>
      <c r="E47" s="68">
        <f>(D46+E46)/2/E$3*365</f>
        <v>73.276515151515142</v>
      </c>
      <c r="F47" s="68">
        <f>(E46+F46)/2/F$3*365</f>
        <v>69.7048611111111</v>
      </c>
      <c r="G47" s="68">
        <f>(F46+G46)/2/G$3*365/2</f>
        <v>67.852564102564102</v>
      </c>
      <c r="H47" s="68">
        <f>AVERAGE(E47:G47)</f>
        <v>70.277980121730124</v>
      </c>
      <c r="I47" s="68">
        <f>H47</f>
        <v>70.277980121730124</v>
      </c>
      <c r="J47" s="68">
        <f>I47</f>
        <v>70.277980121730124</v>
      </c>
      <c r="K47" s="68">
        <f t="shared" si="50"/>
        <v>70.277980121730124</v>
      </c>
      <c r="L47" s="68">
        <f t="shared" si="50"/>
        <v>70.277980121730124</v>
      </c>
      <c r="M47" s="68">
        <f t="shared" si="50"/>
        <v>70.277980121730124</v>
      </c>
      <c r="O47" s="68"/>
    </row>
    <row r="48" spans="2:15" s="67" customFormat="1" x14ac:dyDescent="0.15">
      <c r="B48" s="1" t="s">
        <v>94</v>
      </c>
      <c r="C48" s="1"/>
      <c r="D48" s="242">
        <f>財務数値!D73</f>
        <v>60000</v>
      </c>
      <c r="E48" s="242">
        <f>財務数値!E73</f>
        <v>65000</v>
      </c>
      <c r="F48" s="242">
        <f>財務数値!F73</f>
        <v>70000</v>
      </c>
      <c r="G48" s="242">
        <f>財務数値!G73</f>
        <v>75000</v>
      </c>
      <c r="H48" s="242">
        <f>H49*H$7/365*2</f>
        <v>69316.648044692745</v>
      </c>
      <c r="I48" s="242">
        <f>I49*I$7/365</f>
        <v>73308.706309046771</v>
      </c>
      <c r="J48" s="242">
        <f>J49*J$7/365</f>
        <v>75849.107022726617</v>
      </c>
      <c r="K48" s="242">
        <f>K49*K$7/365</f>
        <v>78389.507736406449</v>
      </c>
      <c r="L48" s="242">
        <f>L49*L$7/365</f>
        <v>80929.908450086295</v>
      </c>
      <c r="M48" s="242">
        <f>M49*M$7/365</f>
        <v>83470.309163766127</v>
      </c>
      <c r="N48" s="1"/>
      <c r="O48" s="5">
        <f>M48</f>
        <v>83470.309163766127</v>
      </c>
    </row>
    <row r="49" spans="2:15" x14ac:dyDescent="0.15">
      <c r="B49" s="69" t="s">
        <v>206</v>
      </c>
      <c r="D49" s="243" t="s">
        <v>1</v>
      </c>
      <c r="E49" s="243">
        <f>(D48+E48)/2/E$7*365</f>
        <v>63.722067039106143</v>
      </c>
      <c r="F49" s="243">
        <f>(E48+F48)/2/F$7*365</f>
        <v>65.7</v>
      </c>
      <c r="G49" s="243">
        <f>(F48+G48)/2/G$7*365/2</f>
        <v>69.273560209424076</v>
      </c>
      <c r="H49" s="243">
        <f>AVERAGE(E49:G49)</f>
        <v>66.231875749510081</v>
      </c>
      <c r="I49" s="243">
        <f>H49</f>
        <v>66.231875749510081</v>
      </c>
      <c r="J49" s="243">
        <f>I49</f>
        <v>66.231875749510081</v>
      </c>
      <c r="K49" s="243">
        <f t="shared" ref="K49:M49" si="55">J49</f>
        <v>66.231875749510081</v>
      </c>
      <c r="L49" s="243">
        <f t="shared" si="55"/>
        <v>66.231875749510081</v>
      </c>
      <c r="M49" s="243">
        <f t="shared" si="55"/>
        <v>66.231875749510081</v>
      </c>
      <c r="O49" s="5"/>
    </row>
    <row r="50" spans="2:15" x14ac:dyDescent="0.15">
      <c r="B50" s="63" t="s">
        <v>92</v>
      </c>
      <c r="C50" s="64"/>
      <c r="D50" s="65">
        <f>D44+D46-D48</f>
        <v>135000</v>
      </c>
      <c r="E50" s="65">
        <f t="shared" ref="E50:O50" si="56">E44+E46-E48</f>
        <v>140000</v>
      </c>
      <c r="F50" s="65">
        <f t="shared" si="56"/>
        <v>145000</v>
      </c>
      <c r="G50" s="65">
        <f t="shared" si="56"/>
        <v>155000</v>
      </c>
      <c r="H50" s="65">
        <f t="shared" si="56"/>
        <v>159471.23074318602</v>
      </c>
      <c r="I50" s="65">
        <f t="shared" si="56"/>
        <v>167211.88421154377</v>
      </c>
      <c r="J50" s="65">
        <f t="shared" si="56"/>
        <v>179337.3731637536</v>
      </c>
      <c r="K50" s="65">
        <f t="shared" si="56"/>
        <v>191462.86211596342</v>
      </c>
      <c r="L50" s="65">
        <f t="shared" si="56"/>
        <v>203588.35106817324</v>
      </c>
      <c r="M50" s="65">
        <f t="shared" si="56"/>
        <v>215713.8400203831</v>
      </c>
      <c r="O50" s="65">
        <f t="shared" si="56"/>
        <v>215713.8400203831</v>
      </c>
    </row>
    <row r="51" spans="2:15" x14ac:dyDescent="0.15">
      <c r="B51" s="63" t="s">
        <v>95</v>
      </c>
      <c r="C51" s="64"/>
      <c r="D51" s="65" t="s">
        <v>87</v>
      </c>
      <c r="E51" s="65">
        <f t="shared" ref="E51:J51" si="57">E50-D50</f>
        <v>5000</v>
      </c>
      <c r="F51" s="65">
        <f t="shared" si="57"/>
        <v>5000</v>
      </c>
      <c r="G51" s="65">
        <f t="shared" si="57"/>
        <v>10000</v>
      </c>
      <c r="H51" s="65">
        <f t="shared" si="57"/>
        <v>4471.2307431860245</v>
      </c>
      <c r="I51" s="65">
        <f t="shared" si="57"/>
        <v>7740.6534683577484</v>
      </c>
      <c r="J51" s="65">
        <f t="shared" si="57"/>
        <v>12125.488952209824</v>
      </c>
      <c r="K51" s="65">
        <f t="shared" ref="K51:M51" si="58">K50-J50</f>
        <v>12125.488952209824</v>
      </c>
      <c r="L51" s="65">
        <f t="shared" si="58"/>
        <v>12125.488952209824</v>
      </c>
      <c r="M51" s="65">
        <f t="shared" si="58"/>
        <v>12125.488952209853</v>
      </c>
      <c r="O51" s="65">
        <f>O50-M50</f>
        <v>0</v>
      </c>
    </row>
    <row r="52" spans="2:15" x14ac:dyDescent="0.15">
      <c r="D52" s="5"/>
      <c r="E52" s="5"/>
      <c r="F52" s="5"/>
      <c r="G52" s="5"/>
      <c r="H52" s="5"/>
      <c r="I52" s="5"/>
      <c r="J52" s="5"/>
      <c r="K52" s="5"/>
      <c r="L52" s="5"/>
      <c r="M52" s="5"/>
      <c r="O52" s="5"/>
    </row>
    <row r="53" spans="2:15" x14ac:dyDescent="0.15">
      <c r="B53" s="27" t="s">
        <v>209</v>
      </c>
      <c r="C53" s="27"/>
      <c r="D53" s="61"/>
      <c r="E53" s="61"/>
      <c r="F53" s="61"/>
      <c r="G53" s="61"/>
      <c r="H53" s="61"/>
      <c r="I53" s="61"/>
      <c r="J53" s="61"/>
      <c r="K53" s="61"/>
      <c r="L53" s="61"/>
      <c r="M53" s="61"/>
      <c r="O53" s="61"/>
    </row>
    <row r="54" spans="2:15" x14ac:dyDescent="0.15">
      <c r="B54" s="1" t="s">
        <v>207</v>
      </c>
      <c r="D54" s="5">
        <v>20000</v>
      </c>
      <c r="E54" s="5">
        <v>30000</v>
      </c>
      <c r="F54" s="5">
        <v>20000</v>
      </c>
      <c r="G54" s="5">
        <v>10000</v>
      </c>
      <c r="H54" s="5">
        <v>5000</v>
      </c>
      <c r="I54" s="5">
        <v>0</v>
      </c>
      <c r="J54" s="5">
        <v>0</v>
      </c>
      <c r="K54" s="5">
        <v>0</v>
      </c>
      <c r="L54" s="5">
        <v>0</v>
      </c>
      <c r="M54" s="5">
        <v>0</v>
      </c>
      <c r="O54" s="5">
        <f>M54</f>
        <v>0</v>
      </c>
    </row>
    <row r="55" spans="2:15" s="67" customFormat="1" x14ac:dyDescent="0.15">
      <c r="B55" s="244" t="s">
        <v>210</v>
      </c>
      <c r="D55" s="17">
        <v>10000</v>
      </c>
      <c r="E55" s="17">
        <f>D55</f>
        <v>10000</v>
      </c>
      <c r="F55" s="17">
        <f t="shared" ref="F55:M55" si="59">E55</f>
        <v>10000</v>
      </c>
      <c r="G55" s="17">
        <f t="shared" si="59"/>
        <v>10000</v>
      </c>
      <c r="H55" s="17">
        <f t="shared" si="59"/>
        <v>10000</v>
      </c>
      <c r="I55" s="17">
        <f t="shared" si="59"/>
        <v>10000</v>
      </c>
      <c r="J55" s="17">
        <f t="shared" si="59"/>
        <v>10000</v>
      </c>
      <c r="K55" s="17">
        <f t="shared" si="59"/>
        <v>10000</v>
      </c>
      <c r="L55" s="17">
        <f t="shared" si="59"/>
        <v>10000</v>
      </c>
      <c r="M55" s="17">
        <f t="shared" si="59"/>
        <v>10000</v>
      </c>
      <c r="O55" s="5">
        <f>M55</f>
        <v>10000</v>
      </c>
    </row>
    <row r="56" spans="2:15" x14ac:dyDescent="0.15">
      <c r="B56" s="27" t="s">
        <v>211</v>
      </c>
      <c r="C56" s="27"/>
      <c r="D56" s="61">
        <f>財務数値!D17+財務数値!D29</f>
        <v>15000</v>
      </c>
      <c r="E56" s="61">
        <f>財務数値!E17+財務数値!E29</f>
        <v>20000</v>
      </c>
      <c r="F56" s="61">
        <f>財務数値!F17+財務数値!F29</f>
        <v>25000</v>
      </c>
      <c r="G56" s="61">
        <f>財務数値!G17+財務数値!G29</f>
        <v>12500</v>
      </c>
      <c r="H56" s="61">
        <f>財務数値!H17+財務数値!H29</f>
        <v>12500</v>
      </c>
      <c r="I56" s="61">
        <f>財務数値!I17+財務数値!I29</f>
        <v>14000</v>
      </c>
      <c r="J56" s="61">
        <f>財務数値!J17+財務数値!J29</f>
        <v>13000</v>
      </c>
      <c r="K56" s="61">
        <f>財務数値!K17+財務数値!K29</f>
        <v>12000</v>
      </c>
      <c r="L56" s="61">
        <f>財務数値!L17+財務数値!L29</f>
        <v>11000</v>
      </c>
      <c r="M56" s="61">
        <f>財務数値!M17+財務数値!M29</f>
        <v>10000</v>
      </c>
      <c r="O56" s="61">
        <f>M56</f>
        <v>10000</v>
      </c>
    </row>
    <row r="57" spans="2:15" x14ac:dyDescent="0.15">
      <c r="D57" s="5"/>
      <c r="E57" s="5"/>
      <c r="F57" s="5"/>
      <c r="G57" s="5"/>
      <c r="H57" s="5"/>
      <c r="I57" s="5"/>
      <c r="J57" s="5"/>
      <c r="K57" s="5"/>
      <c r="L57" s="5"/>
      <c r="M57" s="5"/>
      <c r="O57" s="5"/>
    </row>
    <row r="58" spans="2:15" s="22" customFormat="1" x14ac:dyDescent="0.15">
      <c r="B58" s="80" t="str">
        <f>B41</f>
        <v>FCF</v>
      </c>
      <c r="C58" s="80"/>
      <c r="D58" s="81" t="str">
        <f t="shared" ref="D58:M58" si="60">D41</f>
        <v>-</v>
      </c>
      <c r="E58" s="81">
        <f t="shared" si="60"/>
        <v>3708.5398569696845</v>
      </c>
      <c r="F58" s="81">
        <f t="shared" si="60"/>
        <v>32126.645084722222</v>
      </c>
      <c r="G58" s="81">
        <f t="shared" si="60"/>
        <v>19580.891687692318</v>
      </c>
      <c r="H58" s="81">
        <f t="shared" si="60"/>
        <v>19052.122430878342</v>
      </c>
      <c r="I58" s="81">
        <f t="shared" si="60"/>
        <v>54898.732913235785</v>
      </c>
      <c r="J58" s="81">
        <f t="shared" si="60"/>
        <v>69104.079537956917</v>
      </c>
      <c r="K58" s="81">
        <f t="shared" si="60"/>
        <v>78618.624189601149</v>
      </c>
      <c r="L58" s="81">
        <f t="shared" si="60"/>
        <v>87796.675258601579</v>
      </c>
      <c r="M58" s="81">
        <f t="shared" si="60"/>
        <v>96605.624230641231</v>
      </c>
      <c r="O58" s="81">
        <f>O41</f>
        <v>84480.135278431379</v>
      </c>
    </row>
    <row r="59" spans="2:15" x14ac:dyDescent="0.15">
      <c r="B59" s="1" t="s">
        <v>97</v>
      </c>
      <c r="D59" s="17"/>
      <c r="E59" s="17"/>
      <c r="F59" s="17"/>
      <c r="G59" s="17"/>
      <c r="H59" s="72">
        <f>6/2/12</f>
        <v>0.25</v>
      </c>
      <c r="I59" s="72">
        <f>H59+1</f>
        <v>1.25</v>
      </c>
      <c r="J59" s="72">
        <f>I59+1</f>
        <v>2.25</v>
      </c>
      <c r="K59" s="72">
        <f t="shared" ref="K59:M59" si="61">J59+1</f>
        <v>3.25</v>
      </c>
      <c r="L59" s="72">
        <f t="shared" si="61"/>
        <v>4.25</v>
      </c>
      <c r="M59" s="72">
        <f t="shared" si="61"/>
        <v>5.25</v>
      </c>
      <c r="O59" s="72">
        <f>M59</f>
        <v>5.25</v>
      </c>
    </row>
    <row r="60" spans="2:15" x14ac:dyDescent="0.15">
      <c r="B60" s="1" t="s">
        <v>98</v>
      </c>
      <c r="D60" s="17"/>
      <c r="E60" s="17"/>
      <c r="F60" s="17"/>
      <c r="G60" s="17"/>
      <c r="H60" s="72">
        <f>1/(1+$D$72)^H59</f>
        <v>0.98322758761421225</v>
      </c>
      <c r="I60" s="72">
        <f t="shared" ref="I60:M60" si="62">1/(1+$D$72)^I59</f>
        <v>0.91890428748991804</v>
      </c>
      <c r="J60" s="72">
        <f t="shared" si="62"/>
        <v>0.85878905372889525</v>
      </c>
      <c r="K60" s="72">
        <f t="shared" si="62"/>
        <v>0.80260659226999553</v>
      </c>
      <c r="L60" s="72">
        <f t="shared" si="62"/>
        <v>0.75009961894392096</v>
      </c>
      <c r="M60" s="72">
        <f t="shared" si="62"/>
        <v>0.7010276812560009</v>
      </c>
      <c r="O60" s="72">
        <f>1/(1+$D$72)^O59</f>
        <v>0.7010276812560009</v>
      </c>
    </row>
    <row r="61" spans="2:15" x14ac:dyDescent="0.15">
      <c r="B61" s="70" t="s">
        <v>99</v>
      </c>
      <c r="C61" s="70"/>
      <c r="D61" s="30"/>
      <c r="E61" s="30"/>
      <c r="F61" s="30"/>
      <c r="G61" s="30"/>
      <c r="H61" s="30">
        <f>H58*H60</f>
        <v>18732.572376643133</v>
      </c>
      <c r="I61" s="30">
        <f t="shared" ref="I61:M61" si="63">I58*I60</f>
        <v>50446.681051736239</v>
      </c>
      <c r="J61" s="30">
        <f t="shared" si="63"/>
        <v>59345.827075208334</v>
      </c>
      <c r="K61" s="30">
        <f t="shared" si="63"/>
        <v>63099.826049771218</v>
      </c>
      <c r="L61" s="30">
        <f t="shared" si="63"/>
        <v>65856.252656020224</v>
      </c>
      <c r="M61" s="30">
        <f t="shared" si="63"/>
        <v>67723.216750694963</v>
      </c>
      <c r="O61" s="30">
        <f>O58*(1+$D$73)/($D$72-$D$73)*O60</f>
        <v>996919.04133160575</v>
      </c>
    </row>
    <row r="62" spans="2:15" x14ac:dyDescent="0.15">
      <c r="D62" s="5"/>
      <c r="E62" s="5"/>
      <c r="F62" s="5"/>
      <c r="G62" s="5"/>
      <c r="H62" s="5"/>
      <c r="I62" s="5"/>
      <c r="J62" s="5"/>
      <c r="K62" s="5"/>
      <c r="L62" s="5"/>
      <c r="M62" s="5"/>
      <c r="O62" s="5"/>
    </row>
    <row r="63" spans="2:15" x14ac:dyDescent="0.15">
      <c r="B63" s="58" t="s">
        <v>100</v>
      </c>
      <c r="C63" s="58"/>
      <c r="D63" s="71">
        <f>SUM(H61:M61)</f>
        <v>325204.37596007413</v>
      </c>
      <c r="E63" s="5"/>
      <c r="F63" s="5"/>
      <c r="G63" s="5" t="str">
        <f>B68</f>
        <v>企業価値</v>
      </c>
      <c r="H63" s="5"/>
      <c r="I63" s="349" t="str">
        <f>B73</f>
        <v>永久成長率</v>
      </c>
      <c r="J63" s="349"/>
      <c r="K63" s="349"/>
      <c r="L63" s="349"/>
      <c r="M63" s="349"/>
      <c r="O63" s="5" t="s">
        <v>214</v>
      </c>
    </row>
    <row r="64" spans="2:15" x14ac:dyDescent="0.15">
      <c r="B64" s="1" t="s">
        <v>101</v>
      </c>
      <c r="D64" s="17">
        <f>O61</f>
        <v>996919.04133160575</v>
      </c>
      <c r="E64" s="86">
        <f>D64/D68</f>
        <v>0.75402873006648419</v>
      </c>
      <c r="F64" s="5"/>
      <c r="G64" s="62"/>
      <c r="H64" s="75">
        <f>D68</f>
        <v>1322123.4172916799</v>
      </c>
      <c r="I64" s="78">
        <v>4.9999999999999992E-3</v>
      </c>
      <c r="J64" s="78">
        <v>7.4999999999999997E-3</v>
      </c>
      <c r="K64" s="78">
        <v>0.01</v>
      </c>
      <c r="L64" s="78">
        <v>1.2500000000000001E-2</v>
      </c>
      <c r="M64" s="78">
        <v>1.5000000000000001E-2</v>
      </c>
      <c r="O64" s="246" t="s">
        <v>215</v>
      </c>
    </row>
    <row r="65" spans="2:15" x14ac:dyDescent="0.15">
      <c r="B65" s="73" t="s">
        <v>102</v>
      </c>
      <c r="D65" s="17">
        <f>SUM(D66:D67)</f>
        <v>0</v>
      </c>
      <c r="F65" s="85"/>
      <c r="G65" s="83" t="str">
        <f>B72</f>
        <v>WACC</v>
      </c>
      <c r="H65" s="76">
        <v>6.5000000000000002E-2</v>
      </c>
      <c r="I65" s="5">
        <f t="dataTable" ref="I65:M69" dt2D="1" dtr="1" r1="D73" r2="D72" ca="1"/>
        <v>1346808.5069191284</v>
      </c>
      <c r="J65" s="5">
        <v>1393650.9654714186</v>
      </c>
      <c r="K65" s="5">
        <v>1444751.829346644</v>
      </c>
      <c r="L65" s="5">
        <v>1500719.442162367</v>
      </c>
      <c r="M65" s="5">
        <v>1562283.8162596626</v>
      </c>
      <c r="O65" s="5"/>
    </row>
    <row r="66" spans="2:15" x14ac:dyDescent="0.15">
      <c r="B66" s="73"/>
      <c r="C66" s="1" t="s">
        <v>222</v>
      </c>
      <c r="D66" s="17"/>
      <c r="E66" s="74" t="s">
        <v>221</v>
      </c>
      <c r="F66" s="85"/>
      <c r="G66" s="83"/>
      <c r="H66" s="76">
        <v>6.7500000000000004E-2</v>
      </c>
      <c r="I66" s="5">
        <v>1291724.0779338686</v>
      </c>
      <c r="J66" s="29">
        <v>1334391.8371752263</v>
      </c>
      <c r="K66" s="29">
        <v>1380769.8363506147</v>
      </c>
      <c r="L66" s="29">
        <v>1431364.0172692202</v>
      </c>
      <c r="M66" s="5">
        <v>1486776.6916086455</v>
      </c>
      <c r="O66" s="5"/>
    </row>
    <row r="67" spans="2:15" x14ac:dyDescent="0.15">
      <c r="B67" s="73"/>
      <c r="C67" s="1" t="s">
        <v>223</v>
      </c>
      <c r="D67" s="17"/>
      <c r="E67" s="5"/>
      <c r="F67" s="85"/>
      <c r="G67" s="83"/>
      <c r="H67" s="77">
        <v>7.0000000000000007E-2</v>
      </c>
      <c r="I67" s="5">
        <v>1240881.7284702924</v>
      </c>
      <c r="J67" s="29">
        <v>1279877.7391045587</v>
      </c>
      <c r="K67" s="29">
        <v>1322123.4172916799</v>
      </c>
      <c r="L67" s="29">
        <v>1368042.6327124638</v>
      </c>
      <c r="M67" s="5">
        <v>1418136.3222624105</v>
      </c>
      <c r="O67" s="5"/>
    </row>
    <row r="68" spans="2:15" x14ac:dyDescent="0.15">
      <c r="B68" s="8" t="s">
        <v>104</v>
      </c>
      <c r="C68" s="8"/>
      <c r="D68" s="60">
        <f>SUM(D63:D65)</f>
        <v>1322123.4172916799</v>
      </c>
      <c r="E68" s="5"/>
      <c r="F68" s="85"/>
      <c r="G68" s="83"/>
      <c r="H68" s="77">
        <v>7.2500000000000009E-2</v>
      </c>
      <c r="I68" s="5">
        <v>1193810.1673872215</v>
      </c>
      <c r="J68" s="29">
        <v>1229561.2297132134</v>
      </c>
      <c r="K68" s="29">
        <v>1268172.3770252846</v>
      </c>
      <c r="L68" s="29">
        <v>1310001.1199466947</v>
      </c>
      <c r="M68" s="5">
        <v>1355467.1448612714</v>
      </c>
      <c r="O68" s="5"/>
    </row>
    <row r="69" spans="2:15" x14ac:dyDescent="0.15">
      <c r="B69" s="27" t="s">
        <v>216</v>
      </c>
      <c r="C69" s="247"/>
      <c r="D69" s="248">
        <f>$D$68/$O$34</f>
        <v>10.033996253841625</v>
      </c>
      <c r="E69" s="5"/>
      <c r="F69" s="85"/>
      <c r="G69" s="83"/>
      <c r="H69" s="77">
        <v>7.5000000000000011E-2</v>
      </c>
      <c r="I69" s="5">
        <v>1150105.4285624451</v>
      </c>
      <c r="J69" s="5">
        <v>1182975.9673982889</v>
      </c>
      <c r="K69" s="5">
        <v>1218375.0092215047</v>
      </c>
      <c r="L69" s="5">
        <v>1256605.9743905782</v>
      </c>
      <c r="M69" s="5">
        <v>1298022.8533237409</v>
      </c>
      <c r="O69" s="5"/>
    </row>
    <row r="70" spans="2:15" x14ac:dyDescent="0.15">
      <c r="C70" s="20"/>
      <c r="D70" s="5"/>
      <c r="E70" s="5"/>
      <c r="F70" s="5"/>
      <c r="O70" s="5"/>
    </row>
    <row r="71" spans="2:15" x14ac:dyDescent="0.15">
      <c r="B71" s="27" t="s">
        <v>84</v>
      </c>
      <c r="C71" s="27"/>
      <c r="D71" s="61"/>
      <c r="E71" s="5"/>
      <c r="F71" s="5"/>
      <c r="G71" s="5" t="str">
        <f>B80</f>
        <v>株式価値</v>
      </c>
      <c r="H71" s="5"/>
      <c r="I71" s="349" t="str">
        <f>B73</f>
        <v>永久成長率</v>
      </c>
      <c r="J71" s="349"/>
      <c r="K71" s="349"/>
      <c r="L71" s="349"/>
      <c r="M71" s="349"/>
      <c r="O71" s="5" t="s">
        <v>214</v>
      </c>
    </row>
    <row r="72" spans="2:15" x14ac:dyDescent="0.15">
      <c r="B72" s="1" t="s">
        <v>85</v>
      </c>
      <c r="D72" s="84">
        <f>Parameter設定!C2</f>
        <v>7.0000000000000007E-2</v>
      </c>
      <c r="E72" s="5"/>
      <c r="F72" s="5"/>
      <c r="G72" s="62"/>
      <c r="H72" s="75">
        <f>D80</f>
        <v>1077123.4172916799</v>
      </c>
      <c r="I72" s="78">
        <v>4.9999999999999992E-3</v>
      </c>
      <c r="J72" s="78">
        <v>7.4999999999999997E-3</v>
      </c>
      <c r="K72" s="78">
        <v>0.01</v>
      </c>
      <c r="L72" s="78">
        <v>1.2500000000000001E-2</v>
      </c>
      <c r="M72" s="78">
        <v>1.5000000000000001E-2</v>
      </c>
      <c r="O72" s="246" t="s">
        <v>215</v>
      </c>
    </row>
    <row r="73" spans="2:15" x14ac:dyDescent="0.15">
      <c r="B73" s="1" t="s">
        <v>86</v>
      </c>
      <c r="D73" s="84">
        <f>Parameter設定!C3</f>
        <v>0.01</v>
      </c>
      <c r="E73" s="5"/>
      <c r="F73" s="5"/>
      <c r="G73" s="83" t="str">
        <f>B72</f>
        <v>WACC</v>
      </c>
      <c r="H73" s="76">
        <v>6.5000000000000002E-2</v>
      </c>
      <c r="I73" s="5">
        <f t="dataTable" ref="I73:M77" dt2D="1" dtr="1" r1="D73" r2="D72"/>
        <v>1101808.5069191284</v>
      </c>
      <c r="J73" s="5">
        <v>1148650.9654714186</v>
      </c>
      <c r="K73" s="5">
        <v>1199751.829346644</v>
      </c>
      <c r="L73" s="5">
        <v>1255719.442162367</v>
      </c>
      <c r="M73" s="5">
        <v>1317283.8162596626</v>
      </c>
      <c r="O73" s="5"/>
    </row>
    <row r="74" spans="2:15" x14ac:dyDescent="0.15">
      <c r="D74" s="5"/>
      <c r="F74" s="5"/>
      <c r="G74" s="83"/>
      <c r="H74" s="76">
        <v>6.7500000000000004E-2</v>
      </c>
      <c r="I74" s="5">
        <v>1046724.0779338686</v>
      </c>
      <c r="J74" s="29">
        <v>1089391.8371752263</v>
      </c>
      <c r="K74" s="29">
        <v>1135769.8363506147</v>
      </c>
      <c r="L74" s="29">
        <v>1186364.0172692202</v>
      </c>
      <c r="M74" s="5">
        <v>1241776.6916086455</v>
      </c>
      <c r="O74" s="5"/>
    </row>
    <row r="75" spans="2:15" x14ac:dyDescent="0.15">
      <c r="B75" s="1" t="s">
        <v>220</v>
      </c>
      <c r="D75" s="5"/>
      <c r="E75" s="5"/>
      <c r="F75" s="5"/>
      <c r="G75" s="83"/>
      <c r="H75" s="77">
        <v>7.0000000000000007E-2</v>
      </c>
      <c r="I75" s="5">
        <v>995881.72847029241</v>
      </c>
      <c r="J75" s="29">
        <v>1034877.7391045587</v>
      </c>
      <c r="K75" s="29">
        <v>1077123.4172916799</v>
      </c>
      <c r="L75" s="29">
        <v>1123042.6327124638</v>
      </c>
      <c r="M75" s="5">
        <v>1173136.3222624105</v>
      </c>
      <c r="O75" s="5"/>
    </row>
    <row r="76" spans="2:15" x14ac:dyDescent="0.15">
      <c r="B76" s="58" t="s">
        <v>105</v>
      </c>
      <c r="C76" s="58"/>
      <c r="D76" s="71">
        <f>D68</f>
        <v>1322123.4172916799</v>
      </c>
      <c r="E76" s="5"/>
      <c r="F76" s="5"/>
      <c r="G76" s="83"/>
      <c r="H76" s="77">
        <v>7.2500000000000009E-2</v>
      </c>
      <c r="I76" s="5">
        <v>948810.16738722147</v>
      </c>
      <c r="J76" s="29">
        <v>984561.2297132134</v>
      </c>
      <c r="K76" s="29">
        <v>1023172.3770252846</v>
      </c>
      <c r="L76" s="29">
        <v>1065001.1199466947</v>
      </c>
      <c r="M76" s="5">
        <v>1110467.1448612714</v>
      </c>
      <c r="O76" s="5"/>
    </row>
    <row r="77" spans="2:15" x14ac:dyDescent="0.15">
      <c r="B77" s="73" t="s">
        <v>103</v>
      </c>
      <c r="D77" s="17">
        <f>D78</f>
        <v>245000</v>
      </c>
      <c r="E77" s="5"/>
      <c r="F77" s="5"/>
      <c r="G77" s="83"/>
      <c r="H77" s="77">
        <v>7.5000000000000011E-2</v>
      </c>
      <c r="I77" s="5">
        <v>905105.4285624451</v>
      </c>
      <c r="J77" s="5">
        <v>937975.96739828889</v>
      </c>
      <c r="K77" s="5">
        <v>973375.00922150468</v>
      </c>
      <c r="L77" s="5">
        <v>1011605.9743905782</v>
      </c>
      <c r="M77" s="5">
        <v>1053022.8533237409</v>
      </c>
      <c r="O77" s="5"/>
    </row>
    <row r="78" spans="2:15" x14ac:dyDescent="0.15">
      <c r="B78" s="73"/>
      <c r="C78" s="1" t="s">
        <v>213</v>
      </c>
      <c r="D78" s="17">
        <f>財務数値!G74+財務数値!G77</f>
        <v>245000</v>
      </c>
      <c r="J78" s="5"/>
      <c r="K78" s="5"/>
      <c r="L78" s="5"/>
      <c r="M78" s="5"/>
      <c r="O78" s="5"/>
    </row>
    <row r="79" spans="2:15" x14ac:dyDescent="0.15">
      <c r="B79" s="73"/>
      <c r="C79" s="1" t="s">
        <v>222</v>
      </c>
      <c r="D79" s="17"/>
      <c r="G79" s="5" t="s">
        <v>217</v>
      </c>
      <c r="H79" s="5"/>
      <c r="I79" s="349" t="str">
        <f>I71</f>
        <v>永久成長率</v>
      </c>
      <c r="J79" s="349"/>
      <c r="K79" s="349"/>
      <c r="L79" s="349"/>
      <c r="M79" s="349"/>
      <c r="O79" s="5" t="s">
        <v>214</v>
      </c>
    </row>
    <row r="80" spans="2:15" x14ac:dyDescent="0.15">
      <c r="B80" s="8" t="s">
        <v>106</v>
      </c>
      <c r="C80" s="8"/>
      <c r="D80" s="60">
        <f>D76-D77</f>
        <v>1077123.4172916799</v>
      </c>
      <c r="G80" s="62"/>
      <c r="H80" s="75">
        <f>D69</f>
        <v>10.033996253841625</v>
      </c>
      <c r="I80" s="78">
        <v>4.9999999999999992E-3</v>
      </c>
      <c r="J80" s="78">
        <v>7.4999999999999997E-3</v>
      </c>
      <c r="K80" s="78">
        <v>0.01</v>
      </c>
      <c r="L80" s="78">
        <v>1.2500000000000001E-2</v>
      </c>
      <c r="M80" s="78">
        <v>1.5000000000000001E-2</v>
      </c>
      <c r="O80" s="246" t="s">
        <v>215</v>
      </c>
    </row>
    <row r="81" spans="2:15" x14ac:dyDescent="0.15">
      <c r="B81" s="27" t="s">
        <v>218</v>
      </c>
      <c r="C81" s="247"/>
      <c r="D81" s="248">
        <f>$D$80/$O$37</f>
        <v>12.750020034197084</v>
      </c>
      <c r="G81" s="83" t="str">
        <f>G73</f>
        <v>WACC</v>
      </c>
      <c r="H81" s="76">
        <v>6.5000000000000002E-2</v>
      </c>
      <c r="I81" s="249">
        <f t="dataTable" ref="I81:M85" dt2D="1" dtr="1" r1="D73" r2="D72" ca="1"/>
        <v>10.221338897960997</v>
      </c>
      <c r="J81" s="249">
        <v>10.576840545906409</v>
      </c>
      <c r="K81" s="249">
        <v>10.96466052548322</v>
      </c>
      <c r="L81" s="249">
        <v>11.389415741210202</v>
      </c>
      <c r="M81" s="249">
        <v>11.856646478509886</v>
      </c>
    </row>
    <row r="82" spans="2:15" x14ac:dyDescent="0.15">
      <c r="G82" s="83"/>
      <c r="H82" s="76">
        <v>6.7500000000000004E-2</v>
      </c>
      <c r="I82" s="249">
        <v>9.8032864326205669</v>
      </c>
      <c r="J82" s="250">
        <v>10.127105019288219</v>
      </c>
      <c r="K82" s="250">
        <v>10.479081743926971</v>
      </c>
      <c r="L82" s="250">
        <v>10.863056352623788</v>
      </c>
      <c r="M82" s="249">
        <v>11.283599971672686</v>
      </c>
    </row>
    <row r="83" spans="2:15" x14ac:dyDescent="0.15">
      <c r="G83" s="83"/>
      <c r="H83" s="77">
        <v>7.0000000000000007E-2</v>
      </c>
      <c r="I83" s="249">
        <v>9.4174283974463187</v>
      </c>
      <c r="J83" s="250">
        <v>9.7133809685160681</v>
      </c>
      <c r="K83" s="250">
        <v>10.033996253841625</v>
      </c>
      <c r="L83" s="250">
        <v>10.382491129195493</v>
      </c>
      <c r="M83" s="249">
        <v>10.76266735685426</v>
      </c>
    </row>
    <row r="84" spans="2:15" x14ac:dyDescent="0.15">
      <c r="G84" s="83"/>
      <c r="H84" s="77">
        <v>7.2500000000000009E-2</v>
      </c>
      <c r="I84" s="249">
        <v>9.0601880207971153</v>
      </c>
      <c r="J84" s="250">
        <v>9.3315136933918108</v>
      </c>
      <c r="K84" s="250">
        <v>9.6245454197940798</v>
      </c>
      <c r="L84" s="250">
        <v>9.9419964567298695</v>
      </c>
      <c r="M84" s="249">
        <v>10.287051931660079</v>
      </c>
    </row>
    <row r="85" spans="2:15" x14ac:dyDescent="0.15">
      <c r="G85" s="83"/>
      <c r="H85" s="77">
        <v>7.5000000000000011E-2</v>
      </c>
      <c r="I85" s="249">
        <v>8.7284994810530332</v>
      </c>
      <c r="J85" s="249">
        <v>8.9779639858238838</v>
      </c>
      <c r="K85" s="249">
        <v>9.2466180678847927</v>
      </c>
      <c r="L85" s="249">
        <v>9.5367644765105801</v>
      </c>
      <c r="M85" s="249">
        <v>9.8510897525218475</v>
      </c>
    </row>
    <row r="87" spans="2:15" x14ac:dyDescent="0.15">
      <c r="G87" s="5" t="str">
        <f>B81</f>
        <v>PER</v>
      </c>
      <c r="H87" s="5"/>
      <c r="I87" s="349" t="str">
        <f>I79</f>
        <v>永久成長率</v>
      </c>
      <c r="J87" s="349"/>
      <c r="K87" s="349"/>
      <c r="L87" s="349"/>
      <c r="M87" s="349"/>
      <c r="O87" s="5" t="s">
        <v>214</v>
      </c>
    </row>
    <row r="88" spans="2:15" x14ac:dyDescent="0.15">
      <c r="G88" s="62"/>
      <c r="H88" s="75">
        <f>D81</f>
        <v>12.750020034197084</v>
      </c>
      <c r="I88" s="78">
        <v>4.9999999999999992E-3</v>
      </c>
      <c r="J88" s="78">
        <v>7.4999999999999997E-3</v>
      </c>
      <c r="K88" s="78">
        <v>0.01</v>
      </c>
      <c r="L88" s="78">
        <v>1.2500000000000001E-2</v>
      </c>
      <c r="M88" s="78">
        <v>1.5000000000000001E-2</v>
      </c>
      <c r="O88" s="246" t="s">
        <v>215</v>
      </c>
    </row>
    <row r="89" spans="2:15" x14ac:dyDescent="0.15">
      <c r="G89" s="83" t="str">
        <f>G81</f>
        <v>WACC</v>
      </c>
      <c r="H89" s="76">
        <v>6.5000000000000002E-2</v>
      </c>
      <c r="I89" s="249">
        <f t="dataTable" ref="I89:M93" dt2D="1" dtr="1" r1="D73" r2="D72" ca="1"/>
        <v>13.042219964347417</v>
      </c>
      <c r="J89" s="249">
        <v>13.596698936213476</v>
      </c>
      <c r="K89" s="249">
        <v>14.201585087340083</v>
      </c>
      <c r="L89" s="249">
        <v>14.864079443335891</v>
      </c>
      <c r="M89" s="249">
        <v>15.592823234931281</v>
      </c>
    </row>
    <row r="90" spans="2:15" x14ac:dyDescent="0.15">
      <c r="G90" s="83"/>
      <c r="H90" s="76">
        <v>6.7500000000000004E-2</v>
      </c>
      <c r="I90" s="249">
        <v>12.390179945664785</v>
      </c>
      <c r="J90" s="250">
        <v>12.895242574893922</v>
      </c>
      <c r="K90" s="250">
        <v>13.44422369362124</v>
      </c>
      <c r="L90" s="250">
        <v>14.043112186778313</v>
      </c>
      <c r="M90" s="249">
        <v>14.699037679283682</v>
      </c>
    </row>
    <row r="91" spans="2:15" x14ac:dyDescent="0.15">
      <c r="G91" s="83"/>
      <c r="H91" s="77">
        <v>7.0000000000000007E-2</v>
      </c>
      <c r="I91" s="249">
        <v>11.788353856063852</v>
      </c>
      <c r="J91" s="250">
        <v>12.249953621567807</v>
      </c>
      <c r="K91" s="250">
        <v>12.750020034197084</v>
      </c>
      <c r="L91" s="250">
        <v>13.293570482707167</v>
      </c>
      <c r="M91" s="249">
        <v>13.886534608354539</v>
      </c>
    </row>
    <row r="92" spans="2:15" x14ac:dyDescent="0.15">
      <c r="G92" s="83"/>
      <c r="H92" s="77">
        <v>7.2500000000000009E-2</v>
      </c>
      <c r="I92" s="249">
        <v>11.231162974113539</v>
      </c>
      <c r="J92" s="250">
        <v>11.654351954672848</v>
      </c>
      <c r="K92" s="250">
        <v>12.111396053676902</v>
      </c>
      <c r="L92" s="250">
        <v>12.606527160931288</v>
      </c>
      <c r="M92" s="249">
        <v>13.144713147077367</v>
      </c>
    </row>
    <row r="93" spans="2:15" x14ac:dyDescent="0.15">
      <c r="G93" s="83"/>
      <c r="H93" s="77">
        <v>7.5000000000000011E-2</v>
      </c>
      <c r="I93" s="249">
        <v>10.71382551151676</v>
      </c>
      <c r="J93" s="249">
        <v>11.102917440968676</v>
      </c>
      <c r="K93" s="249">
        <v>11.521939518839964</v>
      </c>
      <c r="L93" s="249">
        <v>11.97448336294096</v>
      </c>
      <c r="M93" s="249">
        <v>12.464739194050368</v>
      </c>
    </row>
  </sheetData>
  <mergeCells count="4">
    <mergeCell ref="I71:M71"/>
    <mergeCell ref="I63:M63"/>
    <mergeCell ref="I79:M79"/>
    <mergeCell ref="I87:M87"/>
  </mergeCells>
  <phoneticPr fontId="2"/>
  <pageMargins left="0.7" right="0.7" top="0.75" bottom="0.75" header="0.3" footer="0.3"/>
  <ignoredErrors>
    <ignoredError sqref="D22:O27 O31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91C6AD-BEC8-4CB8-BB38-E519631DC003}">
  <dimension ref="B1:N52"/>
  <sheetViews>
    <sheetView showGridLines="0" workbookViewId="0">
      <selection activeCell="B1" sqref="B1"/>
    </sheetView>
  </sheetViews>
  <sheetFormatPr defaultRowHeight="14.25" outlineLevelRow="1" x14ac:dyDescent="0.15"/>
  <cols>
    <col min="1" max="1" width="3.28515625" style="1" customWidth="1"/>
    <col min="2" max="2" width="11.140625" style="1" bestFit="1" customWidth="1"/>
    <col min="3" max="3" width="18.7109375" style="1" customWidth="1"/>
    <col min="4" max="4" width="12.28515625" style="1" customWidth="1"/>
    <col min="5" max="9" width="11.28515625" style="1" bestFit="1" customWidth="1"/>
    <col min="10" max="10" width="2.28515625" style="1" customWidth="1"/>
    <col min="11" max="11" width="19.7109375" style="1" customWidth="1"/>
    <col min="12" max="12" width="55.42578125" style="1" bestFit="1" customWidth="1"/>
    <col min="13" max="13" width="9.140625" style="1"/>
    <col min="14" max="14" width="25.140625" style="1" bestFit="1" customWidth="1"/>
    <col min="15" max="16384" width="9.140625" style="1"/>
  </cols>
  <sheetData>
    <row r="1" spans="2:12" ht="15" thickBot="1" x14ac:dyDescent="0.2">
      <c r="B1" s="1" t="s">
        <v>303</v>
      </c>
    </row>
    <row r="2" spans="2:12" ht="15" thickBot="1" x14ac:dyDescent="0.2">
      <c r="B2" s="1" t="s">
        <v>82</v>
      </c>
      <c r="C2" s="245">
        <v>7.0000000000000007E-2</v>
      </c>
    </row>
    <row r="3" spans="2:12" ht="15" thickBot="1" x14ac:dyDescent="0.2">
      <c r="B3" s="1" t="s">
        <v>83</v>
      </c>
      <c r="C3" s="208">
        <v>0.01</v>
      </c>
    </row>
    <row r="4" spans="2:12" ht="15" thickBot="1" x14ac:dyDescent="0.2">
      <c r="B4" s="1" t="s">
        <v>108</v>
      </c>
      <c r="C4" s="210">
        <v>1</v>
      </c>
      <c r="D4" s="209">
        <v>1</v>
      </c>
      <c r="E4" s="209" t="s">
        <v>190</v>
      </c>
    </row>
    <row r="5" spans="2:12" x14ac:dyDescent="0.15">
      <c r="D5" s="209">
        <v>2</v>
      </c>
      <c r="E5" s="209" t="s">
        <v>192</v>
      </c>
    </row>
    <row r="6" spans="2:12" x14ac:dyDescent="0.15">
      <c r="C6" s="31"/>
      <c r="D6" s="209">
        <v>3</v>
      </c>
      <c r="E6" s="209" t="s">
        <v>191</v>
      </c>
    </row>
    <row r="7" spans="2:12" x14ac:dyDescent="0.15">
      <c r="C7" s="31"/>
    </row>
    <row r="8" spans="2:12" x14ac:dyDescent="0.15">
      <c r="D8" s="2" t="s">
        <v>6</v>
      </c>
      <c r="E8" s="1" t="s">
        <v>7</v>
      </c>
    </row>
    <row r="9" spans="2:12" x14ac:dyDescent="0.15">
      <c r="B9" s="50"/>
      <c r="C9" s="57" t="str">
        <f>財務数値!C2</f>
        <v>XXXX㈱</v>
      </c>
      <c r="D9" s="158">
        <v>24</v>
      </c>
      <c r="E9" s="157">
        <f>D9+1</f>
        <v>25</v>
      </c>
      <c r="F9" s="157">
        <f>E9+1</f>
        <v>26</v>
      </c>
      <c r="G9" s="157">
        <f>F9+1</f>
        <v>27</v>
      </c>
      <c r="H9" s="157">
        <f>G9+1</f>
        <v>28</v>
      </c>
      <c r="I9" s="157">
        <f>H9+1</f>
        <v>29</v>
      </c>
      <c r="K9" s="49" t="s">
        <v>194</v>
      </c>
      <c r="L9" s="79" t="s">
        <v>193</v>
      </c>
    </row>
    <row r="10" spans="2:12" x14ac:dyDescent="0.15">
      <c r="B10" s="8" t="str">
        <f>財務数値!B3</f>
        <v>売上高</v>
      </c>
      <c r="C10" s="8"/>
      <c r="D10" s="215">
        <f>DCF!H3/財務数値!H3</f>
        <v>1</v>
      </c>
      <c r="E10" s="215">
        <f>DCF!I3/財務数値!I3</f>
        <v>1</v>
      </c>
      <c r="F10" s="215">
        <f>DCF!J3/財務数値!J3</f>
        <v>1</v>
      </c>
      <c r="G10" s="215">
        <f>DCF!K3/財務数値!K3</f>
        <v>1</v>
      </c>
      <c r="H10" s="215">
        <f>DCF!L3/財務数値!L3</f>
        <v>1</v>
      </c>
      <c r="I10" s="215">
        <f>DCF!M3/財務数値!M3</f>
        <v>1</v>
      </c>
      <c r="K10" s="217"/>
      <c r="L10" s="1" t="s">
        <v>203</v>
      </c>
    </row>
    <row r="11" spans="2:12" x14ac:dyDescent="0.15">
      <c r="B11" s="1" t="str">
        <f>財務数値!C4</f>
        <v>AAAA事業</v>
      </c>
      <c r="C11" s="1" t="str" cm="1">
        <f t="array" ref="C11">_xlfn.SWITCH($C$4,1,C12,2,C13,3,C14)</f>
        <v>マネジメントケース</v>
      </c>
      <c r="D11" s="221" cm="1">
        <f t="array" ref="D11">_xlfn.SWITCH($C$4,1,D12,2,D13,3,D14)</f>
        <v>1</v>
      </c>
      <c r="E11" s="221" cm="1">
        <f t="array" ref="E11">_xlfn.SWITCH($C$4,1,E12,2,E13,3,E14)</f>
        <v>1</v>
      </c>
      <c r="F11" s="221" cm="1">
        <f t="array" ref="F11">_xlfn.SWITCH($C$4,1,F12,2,F13,3,F14)</f>
        <v>1</v>
      </c>
      <c r="G11" s="221" cm="1">
        <f t="array" ref="G11">_xlfn.SWITCH($C$4,1,G12,2,G13,3,G14)</f>
        <v>1</v>
      </c>
      <c r="H11" s="221" cm="1">
        <f t="array" ref="H11">_xlfn.SWITCH($C$4,1,H12,2,H13,3,H14)</f>
        <v>1</v>
      </c>
      <c r="I11" s="221" cm="1">
        <f t="array" ref="I11">_xlfn.SWITCH($C$4,1,I12,2,I13,3,I14)</f>
        <v>1</v>
      </c>
      <c r="K11" s="48"/>
    </row>
    <row r="12" spans="2:12" x14ac:dyDescent="0.15">
      <c r="C12" s="223" t="str">
        <f>$E$4</f>
        <v>マネジメントケース</v>
      </c>
      <c r="D12" s="224">
        <f>K12</f>
        <v>1</v>
      </c>
      <c r="E12" s="224">
        <f>D12</f>
        <v>1</v>
      </c>
      <c r="F12" s="224">
        <f t="shared" ref="F12:I12" si="0">E12</f>
        <v>1</v>
      </c>
      <c r="G12" s="224">
        <f t="shared" si="0"/>
        <v>1</v>
      </c>
      <c r="H12" s="224">
        <f t="shared" si="0"/>
        <v>1</v>
      </c>
      <c r="I12" s="224">
        <f t="shared" si="0"/>
        <v>1</v>
      </c>
      <c r="K12" s="216">
        <v>1</v>
      </c>
      <c r="L12" s="1" t="s">
        <v>196</v>
      </c>
    </row>
    <row r="13" spans="2:12" x14ac:dyDescent="0.15">
      <c r="C13" s="223" t="str">
        <f>$E$5</f>
        <v>ダウンサイドケース</v>
      </c>
      <c r="D13" s="224">
        <f t="shared" ref="D13:D14" si="1">K13</f>
        <v>0.95</v>
      </c>
      <c r="E13" s="224">
        <f t="shared" ref="E13:I13" si="2">D13</f>
        <v>0.95</v>
      </c>
      <c r="F13" s="224">
        <f t="shared" si="2"/>
        <v>0.95</v>
      </c>
      <c r="G13" s="224">
        <f t="shared" si="2"/>
        <v>0.95</v>
      </c>
      <c r="H13" s="224">
        <f t="shared" si="2"/>
        <v>0.95</v>
      </c>
      <c r="I13" s="224">
        <f t="shared" si="2"/>
        <v>0.95</v>
      </c>
      <c r="K13" s="216">
        <v>0.95</v>
      </c>
      <c r="L13" s="1" t="s">
        <v>195</v>
      </c>
    </row>
    <row r="14" spans="2:12" x14ac:dyDescent="0.15">
      <c r="C14" s="223" t="str">
        <f>$E$6</f>
        <v>アップサイドケース</v>
      </c>
      <c r="D14" s="224">
        <f t="shared" si="1"/>
        <v>1.05</v>
      </c>
      <c r="E14" s="224">
        <f t="shared" ref="E14:I14" si="3">D14</f>
        <v>1.05</v>
      </c>
      <c r="F14" s="224">
        <f t="shared" si="3"/>
        <v>1.05</v>
      </c>
      <c r="G14" s="224">
        <f t="shared" si="3"/>
        <v>1.05</v>
      </c>
      <c r="H14" s="224">
        <f t="shared" si="3"/>
        <v>1.05</v>
      </c>
      <c r="I14" s="224">
        <f t="shared" si="3"/>
        <v>1.05</v>
      </c>
      <c r="K14" s="216">
        <v>1.05</v>
      </c>
      <c r="L14" s="1" t="s">
        <v>197</v>
      </c>
    </row>
    <row r="15" spans="2:12" x14ac:dyDescent="0.15">
      <c r="B15" s="1" t="str">
        <f>財務数値!C5</f>
        <v>BBBB事業</v>
      </c>
      <c r="C15" s="1" t="str" cm="1">
        <f t="array" ref="C15">_xlfn.SWITCH($C$4,1,C16,2,C17,3,C18)</f>
        <v>マネジメントケース</v>
      </c>
      <c r="D15" s="221" cm="1">
        <f t="array" ref="D15">_xlfn.SWITCH($C$4,1,D16,2,D17,3,D18)</f>
        <v>1</v>
      </c>
      <c r="E15" s="221" cm="1">
        <f t="array" ref="E15">_xlfn.SWITCH($C$4,1,E16,2,E17,3,E18)</f>
        <v>1</v>
      </c>
      <c r="F15" s="221" cm="1">
        <f t="array" ref="F15">_xlfn.SWITCH($C$4,1,F16,2,F17,3,F18)</f>
        <v>1</v>
      </c>
      <c r="G15" s="221" cm="1">
        <f t="array" ref="G15">_xlfn.SWITCH($C$4,1,G16,2,G17,3,G18)</f>
        <v>1</v>
      </c>
      <c r="H15" s="221" cm="1">
        <f t="array" ref="H15">_xlfn.SWITCH($C$4,1,H16,2,H17,3,H18)</f>
        <v>1</v>
      </c>
      <c r="I15" s="221" cm="1">
        <f t="array" ref="I15">_xlfn.SWITCH($C$4,1,I16,2,I17,3,I18)</f>
        <v>1</v>
      </c>
      <c r="J15" s="22"/>
      <c r="K15" s="220"/>
      <c r="L15" s="22"/>
    </row>
    <row r="16" spans="2:12" x14ac:dyDescent="0.15">
      <c r="C16" s="223" t="str">
        <f>$E$4</f>
        <v>マネジメントケース</v>
      </c>
      <c r="D16" s="224">
        <f>K16</f>
        <v>1</v>
      </c>
      <c r="E16" s="224">
        <f>D16</f>
        <v>1</v>
      </c>
      <c r="F16" s="224">
        <f t="shared" ref="F16:I16" si="4">E16</f>
        <v>1</v>
      </c>
      <c r="G16" s="224">
        <f t="shared" si="4"/>
        <v>1</v>
      </c>
      <c r="H16" s="224">
        <f t="shared" si="4"/>
        <v>1</v>
      </c>
      <c r="I16" s="224">
        <f t="shared" si="4"/>
        <v>1</v>
      </c>
      <c r="K16" s="59">
        <f>K12</f>
        <v>1</v>
      </c>
      <c r="L16" s="1" t="s">
        <v>196</v>
      </c>
    </row>
    <row r="17" spans="2:14" x14ac:dyDescent="0.15">
      <c r="C17" s="223" t="str">
        <f>$E$5</f>
        <v>ダウンサイドケース</v>
      </c>
      <c r="D17" s="224">
        <f t="shared" ref="D17:D18" si="5">K17</f>
        <v>0.98</v>
      </c>
      <c r="E17" s="224">
        <f t="shared" ref="E17:I17" si="6">D17</f>
        <v>0.98</v>
      </c>
      <c r="F17" s="224">
        <f t="shared" si="6"/>
        <v>0.98</v>
      </c>
      <c r="G17" s="224">
        <f t="shared" si="6"/>
        <v>0.98</v>
      </c>
      <c r="H17" s="224">
        <f t="shared" si="6"/>
        <v>0.98</v>
      </c>
      <c r="I17" s="224">
        <f t="shared" si="6"/>
        <v>0.98</v>
      </c>
      <c r="K17" s="216">
        <v>0.98</v>
      </c>
      <c r="L17" s="1" t="s">
        <v>198</v>
      </c>
    </row>
    <row r="18" spans="2:14" x14ac:dyDescent="0.15">
      <c r="C18" s="223" t="str">
        <f>$E$6</f>
        <v>アップサイドケース</v>
      </c>
      <c r="D18" s="224">
        <f t="shared" si="5"/>
        <v>1.02</v>
      </c>
      <c r="E18" s="224">
        <f t="shared" ref="E18:I18" si="7">D18</f>
        <v>1.02</v>
      </c>
      <c r="F18" s="224">
        <f t="shared" si="7"/>
        <v>1.02</v>
      </c>
      <c r="G18" s="224">
        <f t="shared" si="7"/>
        <v>1.02</v>
      </c>
      <c r="H18" s="224">
        <f t="shared" si="7"/>
        <v>1.02</v>
      </c>
      <c r="I18" s="224">
        <f t="shared" si="7"/>
        <v>1.02</v>
      </c>
      <c r="K18" s="216">
        <v>1.02</v>
      </c>
      <c r="L18" s="1" t="s">
        <v>199</v>
      </c>
    </row>
    <row r="19" spans="2:14" x14ac:dyDescent="0.15">
      <c r="B19" s="1" t="str">
        <f>財務数値!C6</f>
        <v>CCCC事業</v>
      </c>
      <c r="C19" s="1" t="str" cm="1">
        <f t="array" ref="C19">_xlfn.SWITCH($C$4,1,C20,2,C21,3,C22)</f>
        <v>マネジメントケース</v>
      </c>
      <c r="D19" s="221" cm="1">
        <f t="array" ref="D19">_xlfn.SWITCH($C$4,1,D20,2,D21,3,D22)</f>
        <v>1</v>
      </c>
      <c r="E19" s="221" cm="1">
        <f t="array" ref="E19">_xlfn.SWITCH($C$4,1,E20,2,E21,3,E22)</f>
        <v>1</v>
      </c>
      <c r="F19" s="221" cm="1">
        <f t="array" ref="F19">_xlfn.SWITCH($C$4,1,F20,2,F21,3,F22)</f>
        <v>1</v>
      </c>
      <c r="G19" s="221" cm="1">
        <f t="array" ref="G19">_xlfn.SWITCH($C$4,1,G20,2,G21,3,G22)</f>
        <v>1</v>
      </c>
      <c r="H19" s="221" cm="1">
        <f t="array" ref="H19">_xlfn.SWITCH($C$4,1,H20,2,H21,3,H22)</f>
        <v>1</v>
      </c>
      <c r="I19" s="221" cm="1">
        <f t="array" ref="I19">_xlfn.SWITCH($C$4,1,I20,2,I21,3,I22)</f>
        <v>1</v>
      </c>
      <c r="J19" s="22"/>
      <c r="K19" s="220"/>
      <c r="L19" s="22"/>
    </row>
    <row r="20" spans="2:14" x14ac:dyDescent="0.15">
      <c r="C20" s="223" t="str">
        <f>$E$4</f>
        <v>マネジメントケース</v>
      </c>
      <c r="D20" s="224">
        <f>K20</f>
        <v>1</v>
      </c>
      <c r="E20" s="224">
        <f>D20</f>
        <v>1</v>
      </c>
      <c r="F20" s="224">
        <f t="shared" ref="F20:I20" si="8">E20</f>
        <v>1</v>
      </c>
      <c r="G20" s="224">
        <f t="shared" si="8"/>
        <v>1</v>
      </c>
      <c r="H20" s="224">
        <f t="shared" si="8"/>
        <v>1</v>
      </c>
      <c r="I20" s="224">
        <f t="shared" si="8"/>
        <v>1</v>
      </c>
      <c r="K20" s="59">
        <f>K16</f>
        <v>1</v>
      </c>
      <c r="L20" s="1" t="s">
        <v>196</v>
      </c>
    </row>
    <row r="21" spans="2:14" x14ac:dyDescent="0.15">
      <c r="C21" s="223" t="str">
        <f>$E$5</f>
        <v>ダウンサイドケース</v>
      </c>
      <c r="D21" s="224">
        <f t="shared" ref="D21:D22" si="9">K21</f>
        <v>0.97</v>
      </c>
      <c r="E21" s="224">
        <f t="shared" ref="E21:I21" si="10">D21</f>
        <v>0.97</v>
      </c>
      <c r="F21" s="224">
        <f t="shared" si="10"/>
        <v>0.97</v>
      </c>
      <c r="G21" s="224">
        <f t="shared" si="10"/>
        <v>0.97</v>
      </c>
      <c r="H21" s="224">
        <f t="shared" si="10"/>
        <v>0.97</v>
      </c>
      <c r="I21" s="224">
        <f t="shared" si="10"/>
        <v>0.97</v>
      </c>
      <c r="K21" s="216">
        <v>0.97</v>
      </c>
      <c r="L21" s="1" t="s">
        <v>200</v>
      </c>
    </row>
    <row r="22" spans="2:14" x14ac:dyDescent="0.15">
      <c r="C22" s="223" t="str">
        <f>$E$6</f>
        <v>アップサイドケース</v>
      </c>
      <c r="D22" s="224">
        <f t="shared" si="9"/>
        <v>1.03</v>
      </c>
      <c r="E22" s="224">
        <f t="shared" ref="E22:I22" si="11">D22</f>
        <v>1.03</v>
      </c>
      <c r="F22" s="224">
        <f t="shared" si="11"/>
        <v>1.03</v>
      </c>
      <c r="G22" s="224">
        <f t="shared" si="11"/>
        <v>1.03</v>
      </c>
      <c r="H22" s="224">
        <f t="shared" si="11"/>
        <v>1.03</v>
      </c>
      <c r="I22" s="224">
        <f t="shared" si="11"/>
        <v>1.03</v>
      </c>
      <c r="K22" s="216">
        <v>1.03</v>
      </c>
      <c r="L22" s="1" t="s">
        <v>201</v>
      </c>
    </row>
    <row r="23" spans="2:14" x14ac:dyDescent="0.15">
      <c r="B23" s="8" t="s">
        <v>8</v>
      </c>
      <c r="C23" s="8"/>
      <c r="D23" s="215"/>
      <c r="E23" s="215"/>
      <c r="F23" s="215"/>
      <c r="G23" s="215"/>
      <c r="H23" s="215"/>
      <c r="I23" s="215"/>
      <c r="K23" s="8"/>
    </row>
    <row r="24" spans="2:14" x14ac:dyDescent="0.15">
      <c r="B24" s="1" t="str">
        <f>財務数値!C8</f>
        <v>AAAA事業</v>
      </c>
      <c r="N24" s="1" t="s">
        <v>202</v>
      </c>
    </row>
    <row r="25" spans="2:14" x14ac:dyDescent="0.15">
      <c r="B25" s="51" t="str">
        <f>財務数値!C9</f>
        <v>変動費</v>
      </c>
      <c r="C25" s="1" t="str" cm="1">
        <f t="array" ref="C25">_xlfn.SWITCH($C$4,1,C12,2,C13,3,C14)</f>
        <v>マネジメントケース</v>
      </c>
      <c r="D25" s="221" cm="1">
        <f t="array" ref="D25">_xlfn.SWITCH($C$4,1,D12,2,D13,3,D14)</f>
        <v>1</v>
      </c>
      <c r="E25" s="221" cm="1">
        <f t="array" ref="E25">_xlfn.SWITCH($C$4,1,E12,2,E13,3,E14)</f>
        <v>1</v>
      </c>
      <c r="F25" s="221" cm="1">
        <f t="array" ref="F25">_xlfn.SWITCH($C$4,1,F12,2,F13,3,F14)</f>
        <v>1</v>
      </c>
      <c r="G25" s="221" cm="1">
        <f t="array" ref="G25">_xlfn.SWITCH($C$4,1,G12,2,G13,3,G14)</f>
        <v>1</v>
      </c>
      <c r="H25" s="221" cm="1">
        <f t="array" ref="H25">_xlfn.SWITCH($C$4,1,H12,2,H13,3,H14)</f>
        <v>1</v>
      </c>
      <c r="I25" s="221" cm="1">
        <f t="array" ref="I25">_xlfn.SWITCH($C$4,1,I12,2,I13,3,I14)</f>
        <v>1</v>
      </c>
      <c r="K25" s="225" t="s">
        <v>75</v>
      </c>
      <c r="N25" s="218" t="s">
        <v>75</v>
      </c>
    </row>
    <row r="26" spans="2:14" x14ac:dyDescent="0.15">
      <c r="B26" s="51" t="str">
        <f>財務数値!C10</f>
        <v>固定費</v>
      </c>
      <c r="C26" s="1" t="str" cm="1">
        <f t="array" ref="C26">_xlfn.SWITCH($C$4,1,C12,2,C13,3,C14)</f>
        <v>マネジメントケース</v>
      </c>
      <c r="D26" s="221" cm="1">
        <f t="array" ref="D26">_xlfn.SWITCH($C$4,1,D$12,2,D$12,3,D$12)</f>
        <v>1</v>
      </c>
      <c r="E26" s="221" cm="1">
        <f t="array" ref="E26">_xlfn.SWITCH($C$4,1,E$12,2,E$12,3,E$12)</f>
        <v>1</v>
      </c>
      <c r="F26" s="221" cm="1">
        <f t="array" ref="F26">_xlfn.SWITCH($C$4,1,F$12,2,F$12,3,F$12)</f>
        <v>1</v>
      </c>
      <c r="G26" s="221" cm="1">
        <f t="array" ref="G26">_xlfn.SWITCH($C$4,1,G$12,2,G$12,3,G$12)</f>
        <v>1</v>
      </c>
      <c r="H26" s="221" cm="1">
        <f t="array" ref="H26">_xlfn.SWITCH($C$4,1,H$12,2,H$12,3,H$12)</f>
        <v>1</v>
      </c>
      <c r="I26" s="221" cm="1">
        <f t="array" ref="I26">_xlfn.SWITCH($C$4,1,I$12,2,I$12,3,I$12)</f>
        <v>1</v>
      </c>
      <c r="K26" s="225" t="s">
        <v>76</v>
      </c>
      <c r="N26" s="237" t="s">
        <v>76</v>
      </c>
    </row>
    <row r="27" spans="2:14" x14ac:dyDescent="0.15">
      <c r="B27" s="219" t="str">
        <f>財務数値!C11</f>
        <v>BBBB事業</v>
      </c>
      <c r="K27" s="225"/>
    </row>
    <row r="28" spans="2:14" x14ac:dyDescent="0.15">
      <c r="B28" s="51" t="str">
        <f>財務数値!C12</f>
        <v>変動費</v>
      </c>
      <c r="C28" s="1" t="str" cm="1">
        <f t="array" ref="C28">_xlfn.SWITCH($C$4,1,C16,2,C17,3,C18)</f>
        <v>マネジメントケース</v>
      </c>
      <c r="D28" s="221" cm="1">
        <f t="array" ref="D28">_xlfn.SWITCH($C$4,1,D16,2,D17,3,D18)</f>
        <v>1</v>
      </c>
      <c r="E28" s="221" cm="1">
        <f t="array" ref="E28">_xlfn.SWITCH($C$4,1,E16,2,E17,3,E18)</f>
        <v>1</v>
      </c>
      <c r="F28" s="221" cm="1">
        <f t="array" ref="F28">_xlfn.SWITCH($C$4,1,F16,2,F17,3,F18)</f>
        <v>1</v>
      </c>
      <c r="G28" s="221" cm="1">
        <f t="array" ref="G28">_xlfn.SWITCH($C$4,1,G16,2,G17,3,G18)</f>
        <v>1</v>
      </c>
      <c r="H28" s="221" cm="1">
        <f t="array" ref="H28">_xlfn.SWITCH($C$4,1,H16,2,H17,3,H18)</f>
        <v>1</v>
      </c>
      <c r="I28" s="221" cm="1">
        <f t="array" ref="I28">_xlfn.SWITCH($C$4,1,I16,2,I17,3,I18)</f>
        <v>1</v>
      </c>
      <c r="K28" s="225" t="s">
        <v>75</v>
      </c>
    </row>
    <row r="29" spans="2:14" x14ac:dyDescent="0.15">
      <c r="B29" s="51" t="str">
        <f>財務数値!C13</f>
        <v>固定費</v>
      </c>
      <c r="C29" s="1" t="str" cm="1">
        <f t="array" ref="C29">_xlfn.SWITCH($C$4,1,C16,2,C17,3,C18)</f>
        <v>マネジメントケース</v>
      </c>
      <c r="D29" s="221" cm="1">
        <f t="array" ref="D29">_xlfn.SWITCH($C$4,1,D$16,2,D$16,3,D$16)</f>
        <v>1</v>
      </c>
      <c r="E29" s="221" cm="1">
        <f t="array" ref="E29">_xlfn.SWITCH($C$4,1,E$16,2,E$16,3,E$16)</f>
        <v>1</v>
      </c>
      <c r="F29" s="221" cm="1">
        <f t="array" ref="F29">_xlfn.SWITCH($C$4,1,F$16,2,F$16,3,F$16)</f>
        <v>1</v>
      </c>
      <c r="G29" s="221" cm="1">
        <f t="array" ref="G29">_xlfn.SWITCH($C$4,1,G$16,2,G$16,3,G$16)</f>
        <v>1</v>
      </c>
      <c r="H29" s="221" cm="1">
        <f t="array" ref="H29">_xlfn.SWITCH($C$4,1,H$16,2,H$16,3,H$16)</f>
        <v>1</v>
      </c>
      <c r="I29" s="221" cm="1">
        <f t="array" ref="I29">_xlfn.SWITCH($C$4,1,I$16,2,I$16,3,I$16)</f>
        <v>1</v>
      </c>
      <c r="K29" s="225" t="s">
        <v>76</v>
      </c>
    </row>
    <row r="30" spans="2:14" x14ac:dyDescent="0.15">
      <c r="B30" s="219" t="str">
        <f>財務数値!C14</f>
        <v>CCCC事業</v>
      </c>
      <c r="D30" s="59"/>
      <c r="E30" s="59"/>
      <c r="F30" s="59"/>
      <c r="G30" s="59"/>
      <c r="H30" s="59"/>
      <c r="I30" s="59"/>
      <c r="K30" s="225"/>
    </row>
    <row r="31" spans="2:14" x14ac:dyDescent="0.15">
      <c r="B31" s="51" t="str">
        <f>財務数値!C15</f>
        <v>変動費</v>
      </c>
      <c r="C31" s="221" t="str" cm="1">
        <f t="array" ref="C31">_xlfn.SWITCH($C$4,1,C20,2,C21,3,C22)</f>
        <v>マネジメントケース</v>
      </c>
      <c r="D31" s="221" cm="1">
        <f t="array" ref="D31">_xlfn.SWITCH($C$4,1,D20,2,D21,3,D22)</f>
        <v>1</v>
      </c>
      <c r="E31" s="221" cm="1">
        <f t="array" ref="E31">_xlfn.SWITCH($C$4,1,E20,2,E21,3,E22)</f>
        <v>1</v>
      </c>
      <c r="F31" s="221" cm="1">
        <f t="array" ref="F31">_xlfn.SWITCH($C$4,1,F20,2,F21,3,F22)</f>
        <v>1</v>
      </c>
      <c r="G31" s="221" cm="1">
        <f t="array" ref="G31">_xlfn.SWITCH($C$4,1,G20,2,G21,3,G22)</f>
        <v>1</v>
      </c>
      <c r="H31" s="221" cm="1">
        <f t="array" ref="H31">_xlfn.SWITCH($C$4,1,H20,2,H21,3,H22)</f>
        <v>1</v>
      </c>
      <c r="I31" s="221" cm="1">
        <f t="array" ref="I31">_xlfn.SWITCH($C$4,1,I20,2,I21,3,I22)</f>
        <v>1</v>
      </c>
      <c r="K31" s="225" t="s">
        <v>75</v>
      </c>
    </row>
    <row r="32" spans="2:14" x14ac:dyDescent="0.15">
      <c r="B32" s="51" t="str">
        <f>財務数値!C16</f>
        <v>固定費</v>
      </c>
      <c r="C32" s="1" t="str" cm="1">
        <f t="array" ref="C32">_xlfn.SWITCH($C$4,1,C20,2,C21,3,C22)</f>
        <v>マネジメントケース</v>
      </c>
      <c r="D32" s="221" cm="1">
        <f t="array" ref="D32">_xlfn.SWITCH($C$4,1,D$20,2,D$20,3,D$20)</f>
        <v>1</v>
      </c>
      <c r="E32" s="221" cm="1">
        <f t="array" ref="E32">_xlfn.SWITCH($C$4,1,E$20,2,E$20,3,E$20)</f>
        <v>1</v>
      </c>
      <c r="F32" s="221" cm="1">
        <f t="array" ref="F32">_xlfn.SWITCH($C$4,1,F$20,2,F$20,3,F$20)</f>
        <v>1</v>
      </c>
      <c r="G32" s="221" cm="1">
        <f t="array" ref="G32">_xlfn.SWITCH($C$4,1,G$20,2,G$20,3,G$20)</f>
        <v>1</v>
      </c>
      <c r="H32" s="221" cm="1">
        <f t="array" ref="H32">_xlfn.SWITCH($C$4,1,H$20,2,H$20,3,H$20)</f>
        <v>1</v>
      </c>
      <c r="I32" s="221" cm="1">
        <f t="array" ref="I32">_xlfn.SWITCH($C$4,1,I$20,2,I$20,3,I$20)</f>
        <v>1</v>
      </c>
      <c r="K32" s="225" t="s">
        <v>76</v>
      </c>
    </row>
    <row r="33" spans="2:11" x14ac:dyDescent="0.15">
      <c r="B33" s="226" t="str">
        <f>財務数値!B22</f>
        <v>販売費および一般管理費</v>
      </c>
      <c r="C33" s="8"/>
      <c r="D33" s="215"/>
      <c r="E33" s="215"/>
      <c r="F33" s="215"/>
      <c r="G33" s="215"/>
      <c r="H33" s="215"/>
      <c r="I33" s="215"/>
      <c r="K33" s="227"/>
    </row>
    <row r="34" spans="2:11" x14ac:dyDescent="0.15">
      <c r="B34" s="51" t="str">
        <f>DCF!C29</f>
        <v>変動費</v>
      </c>
      <c r="C34" s="221" t="str" cm="1">
        <f t="array" ref="C34">_xlfn.SWITCH($C$4,1,C12,2,C13,3,C14)</f>
        <v>マネジメントケース</v>
      </c>
      <c r="D34" s="59">
        <f>D10</f>
        <v>1</v>
      </c>
      <c r="E34" s="59">
        <f t="shared" ref="E34:I34" si="12">E10</f>
        <v>1</v>
      </c>
      <c r="F34" s="59">
        <f t="shared" si="12"/>
        <v>1</v>
      </c>
      <c r="G34" s="59">
        <f t="shared" si="12"/>
        <v>1</v>
      </c>
      <c r="H34" s="59">
        <f t="shared" si="12"/>
        <v>1</v>
      </c>
      <c r="I34" s="59">
        <f t="shared" si="12"/>
        <v>1</v>
      </c>
      <c r="K34" s="225" t="s">
        <v>75</v>
      </c>
    </row>
    <row r="35" spans="2:11" x14ac:dyDescent="0.15">
      <c r="B35" s="51" t="str">
        <f>DCF!C30</f>
        <v>固定費</v>
      </c>
      <c r="C35" s="221" t="str" cm="1">
        <f t="array" ref="C35">_xlfn.SWITCH($C$4,1,C12,2,C13,3,C14)</f>
        <v>マネジメントケース</v>
      </c>
      <c r="D35" s="59">
        <f>D26</f>
        <v>1</v>
      </c>
      <c r="E35" s="59">
        <f t="shared" ref="E35:I35" si="13">E26</f>
        <v>1</v>
      </c>
      <c r="F35" s="59">
        <f t="shared" si="13"/>
        <v>1</v>
      </c>
      <c r="G35" s="59">
        <f t="shared" si="13"/>
        <v>1</v>
      </c>
      <c r="H35" s="59">
        <f t="shared" si="13"/>
        <v>1</v>
      </c>
      <c r="I35" s="59">
        <f t="shared" si="13"/>
        <v>1</v>
      </c>
      <c r="K35" s="225" t="s">
        <v>76</v>
      </c>
    </row>
    <row r="36" spans="2:11" outlineLevel="1" x14ac:dyDescent="0.15">
      <c r="B36" s="228"/>
      <c r="C36" s="228" t="str">
        <f>財務数値!C23</f>
        <v>役員報酬</v>
      </c>
      <c r="D36" s="229">
        <f>IF($K36=$N$25,D$34,IF($K36=$N$26,D$35,IF($K36=#REF!,#REF!,"-")))</f>
        <v>1</v>
      </c>
      <c r="E36" s="229">
        <f>IF($K36=$N$25,E$34,IF($K36=$N$26,E$35,IF($K36=#REF!,#REF!,"-")))</f>
        <v>1</v>
      </c>
      <c r="F36" s="229">
        <f>IF($K36=$N$25,F$34,IF($K36=$N$26,F$35,IF($K36=#REF!,#REF!,"-")))</f>
        <v>1</v>
      </c>
      <c r="G36" s="229">
        <f>IF($K36=$N$25,G$34,IF($K36=$N$26,G$35,IF($K36=#REF!,#REF!,"-")))</f>
        <v>1</v>
      </c>
      <c r="H36" s="229">
        <f>IF($K36=$N$25,H$34,IF($K36=$N$26,H$35,IF($K36=#REF!,#REF!,"-")))</f>
        <v>1</v>
      </c>
      <c r="I36" s="229">
        <f>IF($K36=$N$25,I$34,IF($K36=$N$26,I$35,IF($K36=#REF!,#REF!,"-")))</f>
        <v>1</v>
      </c>
      <c r="K36" s="232" t="s">
        <v>76</v>
      </c>
    </row>
    <row r="37" spans="2:11" outlineLevel="1" x14ac:dyDescent="0.15">
      <c r="B37" s="222"/>
      <c r="C37" s="222" t="str">
        <f>財務数値!C24</f>
        <v>給料手当</v>
      </c>
      <c r="D37" s="235">
        <f>IF($K37=$N$25,D$34,IF($K37=$N$26,D$35,IF($K37=#REF!,#REF!,"-")))</f>
        <v>1</v>
      </c>
      <c r="E37" s="235">
        <f>IF($K37=$N$25,E$34,IF($K37=$N$26,E$35,IF($K37=#REF!,#REF!,"-")))</f>
        <v>1</v>
      </c>
      <c r="F37" s="235">
        <f>IF($K37=$N$25,F$34,IF($K37=$N$26,F$35,IF($K37=#REF!,#REF!,"-")))</f>
        <v>1</v>
      </c>
      <c r="G37" s="235">
        <f>IF($K37=$N$25,G$34,IF($K37=$N$26,G$35,IF($K37=#REF!,#REF!,"-")))</f>
        <v>1</v>
      </c>
      <c r="H37" s="235">
        <f>IF($K37=$N$25,H$34,IF($K37=$N$26,H$35,IF($K37=#REF!,#REF!,"-")))</f>
        <v>1</v>
      </c>
      <c r="I37" s="235">
        <f>IF($K37=$N$25,I$34,IF($K37=$N$26,I$35,IF($K37=#REF!,#REF!,"-")))</f>
        <v>1</v>
      </c>
      <c r="K37" s="236" t="s">
        <v>76</v>
      </c>
    </row>
    <row r="38" spans="2:11" outlineLevel="1" x14ac:dyDescent="0.15">
      <c r="B38" s="222"/>
      <c r="C38" s="222" t="str">
        <f>財務数値!C25</f>
        <v>賞与</v>
      </c>
      <c r="D38" s="235">
        <f>IF($K38=$N$25,D$34,IF($K38=$N$26,D$35,IF($K38=#REF!,#REF!,"-")))</f>
        <v>1</v>
      </c>
      <c r="E38" s="235">
        <f>IF($K38=$N$25,E$34,IF($K38=$N$26,E$35,IF($K38=#REF!,#REF!,"-")))</f>
        <v>1</v>
      </c>
      <c r="F38" s="235">
        <f>IF($K38=$N$25,F$34,IF($K38=$N$26,F$35,IF($K38=#REF!,#REF!,"-")))</f>
        <v>1</v>
      </c>
      <c r="G38" s="235">
        <f>IF($K38=$N$25,G$34,IF($K38=$N$26,G$35,IF($K38=#REF!,#REF!,"-")))</f>
        <v>1</v>
      </c>
      <c r="H38" s="235">
        <f>IF($K38=$N$25,H$34,IF($K38=$N$26,H$35,IF($K38=#REF!,#REF!,"-")))</f>
        <v>1</v>
      </c>
      <c r="I38" s="235">
        <f>IF($K38=$N$25,I$34,IF($K38=$N$26,I$35,IF($K38=#REF!,#REF!,"-")))</f>
        <v>1</v>
      </c>
      <c r="K38" s="233" t="s">
        <v>75</v>
      </c>
    </row>
    <row r="39" spans="2:11" outlineLevel="1" x14ac:dyDescent="0.15">
      <c r="B39" s="222"/>
      <c r="C39" s="222" t="str">
        <f>財務数値!C26</f>
        <v>福利厚生費</v>
      </c>
      <c r="D39" s="235">
        <f>IF($K39=$N$25,D$34,IF($K39=$N$26,D$35,IF($K39=#REF!,#REF!,"-")))</f>
        <v>1</v>
      </c>
      <c r="E39" s="235">
        <f>IF($K39=$N$25,E$34,IF($K39=$N$26,E$35,IF($K39=#REF!,#REF!,"-")))</f>
        <v>1</v>
      </c>
      <c r="F39" s="235">
        <f>IF($K39=$N$25,F$34,IF($K39=$N$26,F$35,IF($K39=#REF!,#REF!,"-")))</f>
        <v>1</v>
      </c>
      <c r="G39" s="235">
        <f>IF($K39=$N$25,G$34,IF($K39=$N$26,G$35,IF($K39=#REF!,#REF!,"-")))</f>
        <v>1</v>
      </c>
      <c r="H39" s="235">
        <f>IF($K39=$N$25,H$34,IF($K39=$N$26,H$35,IF($K39=#REF!,#REF!,"-")))</f>
        <v>1</v>
      </c>
      <c r="I39" s="235">
        <f>IF($K39=$N$25,I$34,IF($K39=$N$26,I$35,IF($K39=#REF!,#REF!,"-")))</f>
        <v>1</v>
      </c>
      <c r="K39" s="236" t="s">
        <v>76</v>
      </c>
    </row>
    <row r="40" spans="2:11" outlineLevel="1" x14ac:dyDescent="0.15">
      <c r="B40" s="222"/>
      <c r="C40" s="222" t="str">
        <f>財務数値!C27</f>
        <v>業務委託費</v>
      </c>
      <c r="D40" s="235">
        <f>IF($K40=$N$25,D$34,IF($K40=$N$26,D$35,IF($K40=#REF!,#REF!,"-")))</f>
        <v>1</v>
      </c>
      <c r="E40" s="235">
        <f>IF($K40=$N$25,E$34,IF($K40=$N$26,E$35,IF($K40=#REF!,#REF!,"-")))</f>
        <v>1</v>
      </c>
      <c r="F40" s="235">
        <f>IF($K40=$N$25,F$34,IF($K40=$N$26,F$35,IF($K40=#REF!,#REF!,"-")))</f>
        <v>1</v>
      </c>
      <c r="G40" s="235">
        <f>IF($K40=$N$25,G$34,IF($K40=$N$26,G$35,IF($K40=#REF!,#REF!,"-")))</f>
        <v>1</v>
      </c>
      <c r="H40" s="235">
        <f>IF($K40=$N$25,H$34,IF($K40=$N$26,H$35,IF($K40=#REF!,#REF!,"-")))</f>
        <v>1</v>
      </c>
      <c r="I40" s="235">
        <f>IF($K40=$N$25,I$34,IF($K40=$N$26,I$35,IF($K40=#REF!,#REF!,"-")))</f>
        <v>1</v>
      </c>
      <c r="K40" s="233" t="s">
        <v>76</v>
      </c>
    </row>
    <row r="41" spans="2:11" outlineLevel="1" x14ac:dyDescent="0.15">
      <c r="B41" s="222"/>
      <c r="C41" s="222" t="str">
        <f>財務数値!C28</f>
        <v>荷造包装費</v>
      </c>
      <c r="D41" s="235">
        <f>IF($K41=$N$25,D$34,IF($K41=$N$26,D$35,IF($K41=#REF!,#REF!,"-")))</f>
        <v>1</v>
      </c>
      <c r="E41" s="235">
        <f>IF($K41=$N$25,E$34,IF($K41=$N$26,E$35,IF($K41=#REF!,#REF!,"-")))</f>
        <v>1</v>
      </c>
      <c r="F41" s="235">
        <f>IF($K41=$N$25,F$34,IF($K41=$N$26,F$35,IF($K41=#REF!,#REF!,"-")))</f>
        <v>1</v>
      </c>
      <c r="G41" s="235">
        <f>IF($K41=$N$25,G$34,IF($K41=$N$26,G$35,IF($K41=#REF!,#REF!,"-")))</f>
        <v>1</v>
      </c>
      <c r="H41" s="235">
        <f>IF($K41=$N$25,H$34,IF($K41=$N$26,H$35,IF($K41=#REF!,#REF!,"-")))</f>
        <v>1</v>
      </c>
      <c r="I41" s="235">
        <f>IF($K41=$N$25,I$34,IF($K41=$N$26,I$35,IF($K41=#REF!,#REF!,"-")))</f>
        <v>1</v>
      </c>
      <c r="K41" s="233" t="s">
        <v>75</v>
      </c>
    </row>
    <row r="42" spans="2:11" outlineLevel="1" x14ac:dyDescent="0.15">
      <c r="B42" s="222"/>
      <c r="C42" s="222" t="str">
        <f>財務数値!C29</f>
        <v>減価償却費</v>
      </c>
      <c r="D42" s="235">
        <f>IF($K42=$N$25,D$34,IF($K42=$N$26,D$35,IF($K42=#REF!,#REF!,"-")))</f>
        <v>1</v>
      </c>
      <c r="E42" s="235">
        <f>IF($K42=$N$25,E$34,IF($K42=$N$26,E$35,IF($K42=#REF!,#REF!,"-")))</f>
        <v>1</v>
      </c>
      <c r="F42" s="235">
        <f>IF($K42=$N$25,F$34,IF($K42=$N$26,F$35,IF($K42=#REF!,#REF!,"-")))</f>
        <v>1</v>
      </c>
      <c r="G42" s="235">
        <f>IF($K42=$N$25,G$34,IF($K42=$N$26,G$35,IF($K42=#REF!,#REF!,"-")))</f>
        <v>1</v>
      </c>
      <c r="H42" s="235">
        <f>IF($K42=$N$25,H$34,IF($K42=$N$26,H$35,IF($K42=#REF!,#REF!,"-")))</f>
        <v>1</v>
      </c>
      <c r="I42" s="235">
        <f>IF($K42=$N$25,I$34,IF($K42=$N$26,I$35,IF($K42=#REF!,#REF!,"-")))</f>
        <v>1</v>
      </c>
      <c r="K42" s="233" t="s">
        <v>76</v>
      </c>
    </row>
    <row r="43" spans="2:11" outlineLevel="1" x14ac:dyDescent="0.15">
      <c r="B43" s="222"/>
      <c r="C43" s="222" t="str">
        <f>財務数値!C30</f>
        <v>広告宣伝費</v>
      </c>
      <c r="D43" s="235">
        <f>IF($K43=$N$25,D$34,IF($K43=$N$26,D$35,IF($K43=#REF!,#REF!,"-")))</f>
        <v>1</v>
      </c>
      <c r="E43" s="235">
        <f>IF($K43=$N$25,E$34,IF($K43=$N$26,E$35,IF($K43=#REF!,#REF!,"-")))</f>
        <v>1</v>
      </c>
      <c r="F43" s="235">
        <f>IF($K43=$N$25,F$34,IF($K43=$N$26,F$35,IF($K43=#REF!,#REF!,"-")))</f>
        <v>1</v>
      </c>
      <c r="G43" s="235">
        <f>IF($K43=$N$25,G$34,IF($K43=$N$26,G$35,IF($K43=#REF!,#REF!,"-")))</f>
        <v>1</v>
      </c>
      <c r="H43" s="235">
        <f>IF($K43=$N$25,H$34,IF($K43=$N$26,H$35,IF($K43=#REF!,#REF!,"-")))</f>
        <v>1</v>
      </c>
      <c r="I43" s="235">
        <f>IF($K43=$N$25,I$34,IF($K43=$N$26,I$35,IF($K43=#REF!,#REF!,"-")))</f>
        <v>1</v>
      </c>
      <c r="K43" s="233" t="s">
        <v>75</v>
      </c>
    </row>
    <row r="44" spans="2:11" outlineLevel="1" x14ac:dyDescent="0.15">
      <c r="B44" s="222"/>
      <c r="C44" s="222" t="str">
        <f>財務数値!C31</f>
        <v>接待交際費</v>
      </c>
      <c r="D44" s="235">
        <f>IF($K44=$N$25,D$34,IF($K44=$N$26,D$35,IF($K44=#REF!,#REF!,"-")))</f>
        <v>1</v>
      </c>
      <c r="E44" s="235">
        <f>IF($K44=$N$25,E$34,IF($K44=$N$26,E$35,IF($K44=#REF!,#REF!,"-")))</f>
        <v>1</v>
      </c>
      <c r="F44" s="235">
        <f>IF($K44=$N$25,F$34,IF($K44=$N$26,F$35,IF($K44=#REF!,#REF!,"-")))</f>
        <v>1</v>
      </c>
      <c r="G44" s="235">
        <f>IF($K44=$N$25,G$34,IF($K44=$N$26,G$35,IF($K44=#REF!,#REF!,"-")))</f>
        <v>1</v>
      </c>
      <c r="H44" s="235">
        <f>IF($K44=$N$25,H$34,IF($K44=$N$26,H$35,IF($K44=#REF!,#REF!,"-")))</f>
        <v>1</v>
      </c>
      <c r="I44" s="235">
        <f>IF($K44=$N$25,I$34,IF($K44=$N$26,I$35,IF($K44=#REF!,#REF!,"-")))</f>
        <v>1</v>
      </c>
      <c r="K44" s="233" t="s">
        <v>76</v>
      </c>
    </row>
    <row r="45" spans="2:11" outlineLevel="1" x14ac:dyDescent="0.15">
      <c r="B45" s="222"/>
      <c r="C45" s="222" t="str">
        <f>財務数値!C32</f>
        <v>旅費交通費</v>
      </c>
      <c r="D45" s="235">
        <f>IF($K45=$N$25,D$34,IF($K45=$N$26,D$35,IF($K45=#REF!,#REF!,"-")))</f>
        <v>1</v>
      </c>
      <c r="E45" s="235">
        <f>IF($K45=$N$25,E$34,IF($K45=$N$26,E$35,IF($K45=#REF!,#REF!,"-")))</f>
        <v>1</v>
      </c>
      <c r="F45" s="235">
        <f>IF($K45=$N$25,F$34,IF($K45=$N$26,F$35,IF($K45=#REF!,#REF!,"-")))</f>
        <v>1</v>
      </c>
      <c r="G45" s="235">
        <f>IF($K45=$N$25,G$34,IF($K45=$N$26,G$35,IF($K45=#REF!,#REF!,"-")))</f>
        <v>1</v>
      </c>
      <c r="H45" s="235">
        <f>IF($K45=$N$25,H$34,IF($K45=$N$26,H$35,IF($K45=#REF!,#REF!,"-")))</f>
        <v>1</v>
      </c>
      <c r="I45" s="235">
        <f>IF($K45=$N$25,I$34,IF($K45=$N$26,I$35,IF($K45=#REF!,#REF!,"-")))</f>
        <v>1</v>
      </c>
      <c r="K45" s="233" t="s">
        <v>75</v>
      </c>
    </row>
    <row r="46" spans="2:11" outlineLevel="1" x14ac:dyDescent="0.15">
      <c r="B46" s="222"/>
      <c r="C46" s="222" t="str">
        <f>財務数値!C33</f>
        <v>通信費</v>
      </c>
      <c r="D46" s="235">
        <f>IF($K46=$N$25,D$34,IF($K46=$N$26,D$35,IF($K46=#REF!,#REF!,"-")))</f>
        <v>1</v>
      </c>
      <c r="E46" s="235">
        <f>IF($K46=$N$25,E$34,IF($K46=$N$26,E$35,IF($K46=#REF!,#REF!,"-")))</f>
        <v>1</v>
      </c>
      <c r="F46" s="235">
        <f>IF($K46=$N$25,F$34,IF($K46=$N$26,F$35,IF($K46=#REF!,#REF!,"-")))</f>
        <v>1</v>
      </c>
      <c r="G46" s="235">
        <f>IF($K46=$N$25,G$34,IF($K46=$N$26,G$35,IF($K46=#REF!,#REF!,"-")))</f>
        <v>1</v>
      </c>
      <c r="H46" s="235">
        <f>IF($K46=$N$25,H$34,IF($K46=$N$26,H$35,IF($K46=#REF!,#REF!,"-")))</f>
        <v>1</v>
      </c>
      <c r="I46" s="235">
        <f>IF($K46=$N$25,I$34,IF($K46=$N$26,I$35,IF($K46=#REF!,#REF!,"-")))</f>
        <v>1</v>
      </c>
      <c r="K46" s="233" t="s">
        <v>76</v>
      </c>
    </row>
    <row r="47" spans="2:11" outlineLevel="1" x14ac:dyDescent="0.15">
      <c r="B47" s="222"/>
      <c r="C47" s="222" t="str">
        <f>財務数値!C34</f>
        <v>消耗品費</v>
      </c>
      <c r="D47" s="235">
        <f>IF($K47=$N$25,D$34,IF($K47=$N$26,D$35,IF($K47=#REF!,#REF!,"-")))</f>
        <v>1</v>
      </c>
      <c r="E47" s="235">
        <f>IF($K47=$N$25,E$34,IF($K47=$N$26,E$35,IF($K47=#REF!,#REF!,"-")))</f>
        <v>1</v>
      </c>
      <c r="F47" s="235">
        <f>IF($K47=$N$25,F$34,IF($K47=$N$26,F$35,IF($K47=#REF!,#REF!,"-")))</f>
        <v>1</v>
      </c>
      <c r="G47" s="235">
        <f>IF($K47=$N$25,G$34,IF($K47=$N$26,G$35,IF($K47=#REF!,#REF!,"-")))</f>
        <v>1</v>
      </c>
      <c r="H47" s="235">
        <f>IF($K47=$N$25,H$34,IF($K47=$N$26,H$35,IF($K47=#REF!,#REF!,"-")))</f>
        <v>1</v>
      </c>
      <c r="I47" s="235">
        <f>IF($K47=$N$25,I$34,IF($K47=$N$26,I$35,IF($K47=#REF!,#REF!,"-")))</f>
        <v>1</v>
      </c>
      <c r="K47" s="233" t="s">
        <v>76</v>
      </c>
    </row>
    <row r="48" spans="2:11" outlineLevel="1" x14ac:dyDescent="0.15">
      <c r="B48" s="222"/>
      <c r="C48" s="222" t="str">
        <f>財務数値!C35</f>
        <v>水道光熱費</v>
      </c>
      <c r="D48" s="235">
        <f>IF($K48=$N$25,D$34,IF($K48=$N$26,D$35,IF($K48=#REF!,#REF!,"-")))</f>
        <v>1</v>
      </c>
      <c r="E48" s="235">
        <f>IF($K48=$N$25,E$34,IF($K48=$N$26,E$35,IF($K48=#REF!,#REF!,"-")))</f>
        <v>1</v>
      </c>
      <c r="F48" s="235">
        <f>IF($K48=$N$25,F$34,IF($K48=$N$26,F$35,IF($K48=#REF!,#REF!,"-")))</f>
        <v>1</v>
      </c>
      <c r="G48" s="235">
        <f>IF($K48=$N$25,G$34,IF($K48=$N$26,G$35,IF($K48=#REF!,#REF!,"-")))</f>
        <v>1</v>
      </c>
      <c r="H48" s="235">
        <f>IF($K48=$N$25,H$34,IF($K48=$N$26,H$35,IF($K48=#REF!,#REF!,"-")))</f>
        <v>1</v>
      </c>
      <c r="I48" s="235">
        <f>IF($K48=$N$25,I$34,IF($K48=$N$26,I$35,IF($K48=#REF!,#REF!,"-")))</f>
        <v>1</v>
      </c>
      <c r="K48" s="233" t="s">
        <v>76</v>
      </c>
    </row>
    <row r="49" spans="2:11" outlineLevel="1" x14ac:dyDescent="0.15">
      <c r="B49" s="222"/>
      <c r="C49" s="222" t="str">
        <f>財務数値!C36</f>
        <v>支払手数料</v>
      </c>
      <c r="D49" s="235">
        <f>IF($K49=$N$25,D$34,IF($K49=$N$26,D$35,IF($K49=#REF!,#REF!,"-")))</f>
        <v>1</v>
      </c>
      <c r="E49" s="235">
        <f>IF($K49=$N$25,E$34,IF($K49=$N$26,E$35,IF($K49=#REF!,#REF!,"-")))</f>
        <v>1</v>
      </c>
      <c r="F49" s="235">
        <f>IF($K49=$N$25,F$34,IF($K49=$N$26,F$35,IF($K49=#REF!,#REF!,"-")))</f>
        <v>1</v>
      </c>
      <c r="G49" s="235">
        <f>IF($K49=$N$25,G$34,IF($K49=$N$26,G$35,IF($K49=#REF!,#REF!,"-")))</f>
        <v>1</v>
      </c>
      <c r="H49" s="235">
        <f>IF($K49=$N$25,H$34,IF($K49=$N$26,H$35,IF($K49=#REF!,#REF!,"-")))</f>
        <v>1</v>
      </c>
      <c r="I49" s="235">
        <f>IF($K49=$N$25,I$34,IF($K49=$N$26,I$35,IF($K49=#REF!,#REF!,"-")))</f>
        <v>1</v>
      </c>
      <c r="K49" s="233" t="s">
        <v>76</v>
      </c>
    </row>
    <row r="50" spans="2:11" outlineLevel="1" x14ac:dyDescent="0.15">
      <c r="B50" s="222"/>
      <c r="C50" s="222" t="str">
        <f>財務数値!C37</f>
        <v>地代家賃</v>
      </c>
      <c r="D50" s="235">
        <f>IF($K50=$N$25,D$34,IF($K50=$N$26,D$35,IF($K50=#REF!,#REF!,"-")))</f>
        <v>1</v>
      </c>
      <c r="E50" s="235">
        <f>IF($K50=$N$25,E$34,IF($K50=$N$26,E$35,IF($K50=#REF!,#REF!,"-")))</f>
        <v>1</v>
      </c>
      <c r="F50" s="235">
        <f>IF($K50=$N$25,F$34,IF($K50=$N$26,F$35,IF($K50=#REF!,#REF!,"-")))</f>
        <v>1</v>
      </c>
      <c r="G50" s="235">
        <f>IF($K50=$N$25,G$34,IF($K50=$N$26,G$35,IF($K50=#REF!,#REF!,"-")))</f>
        <v>1</v>
      </c>
      <c r="H50" s="235">
        <f>IF($K50=$N$25,H$34,IF($K50=$N$26,H$35,IF($K50=#REF!,#REF!,"-")))</f>
        <v>1</v>
      </c>
      <c r="I50" s="235">
        <f>IF($K50=$N$25,I$34,IF($K50=$N$26,I$35,IF($K50=#REF!,#REF!,"-")))</f>
        <v>1</v>
      </c>
      <c r="K50" s="233" t="s">
        <v>76</v>
      </c>
    </row>
    <row r="51" spans="2:11" outlineLevel="1" x14ac:dyDescent="0.15">
      <c r="B51" s="222"/>
      <c r="C51" s="222" t="str">
        <f>財務数値!C38</f>
        <v>保険料</v>
      </c>
      <c r="D51" s="235">
        <f>IF($K51=$N$25,D$34,IF($K51=$N$26,D$35,IF($K51=#REF!,#REF!,"-")))</f>
        <v>1</v>
      </c>
      <c r="E51" s="235">
        <f>IF($K51=$N$25,E$34,IF($K51=$N$26,E$35,IF($K51=#REF!,#REF!,"-")))</f>
        <v>1</v>
      </c>
      <c r="F51" s="235">
        <f>IF($K51=$N$25,F$34,IF($K51=$N$26,F$35,IF($K51=#REF!,#REF!,"-")))</f>
        <v>1</v>
      </c>
      <c r="G51" s="235">
        <f>IF($K51=$N$25,G$34,IF($K51=$N$26,G$35,IF($K51=#REF!,#REF!,"-")))</f>
        <v>1</v>
      </c>
      <c r="H51" s="235">
        <f>IF($K51=$N$25,H$34,IF($K51=$N$26,H$35,IF($K51=#REF!,#REF!,"-")))</f>
        <v>1</v>
      </c>
      <c r="I51" s="235">
        <f>IF($K51=$N$25,I$34,IF($K51=$N$26,I$35,IF($K51=#REF!,#REF!,"-")))</f>
        <v>1</v>
      </c>
      <c r="K51" s="233" t="s">
        <v>76</v>
      </c>
    </row>
    <row r="52" spans="2:11" outlineLevel="1" x14ac:dyDescent="0.15">
      <c r="B52" s="230"/>
      <c r="C52" s="230" t="str">
        <f>財務数値!C39</f>
        <v>雑費</v>
      </c>
      <c r="D52" s="231">
        <f>IF($K52=$N$25,D$34,IF($K52=$N$26,D$35,IF($K52=#REF!,#REF!,"-")))</f>
        <v>1</v>
      </c>
      <c r="E52" s="231">
        <f>IF($K52=$N$25,E$34,IF($K52=$N$26,E$35,IF($K52=#REF!,#REF!,"-")))</f>
        <v>1</v>
      </c>
      <c r="F52" s="231">
        <f>IF($K52=$N$25,F$34,IF($K52=$N$26,F$35,IF($K52=#REF!,#REF!,"-")))</f>
        <v>1</v>
      </c>
      <c r="G52" s="231">
        <f>IF($K52=$N$25,G$34,IF($K52=$N$26,G$35,IF($K52=#REF!,#REF!,"-")))</f>
        <v>1</v>
      </c>
      <c r="H52" s="231">
        <f>IF($K52=$N$25,H$34,IF($K52=$N$26,H$35,IF($K52=#REF!,#REF!,"-")))</f>
        <v>1</v>
      </c>
      <c r="I52" s="231">
        <f>IF($K52=$N$25,I$34,IF($K52=$N$26,I$35,IF($K52=#REF!,#REF!,"-")))</f>
        <v>1</v>
      </c>
      <c r="K52" s="234" t="s">
        <v>76</v>
      </c>
    </row>
  </sheetData>
  <phoneticPr fontId="2"/>
  <dataValidations count="1">
    <dataValidation type="list" allowBlank="1" showInputMessage="1" showErrorMessage="1" sqref="K24 K25:K52" xr:uid="{4EC549BD-99C9-47A7-ACB9-8475CEA6ACBB}">
      <formula1>$N$25:$N$26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AF84"/>
  <sheetViews>
    <sheetView showGridLines="0" workbookViewId="0">
      <pane ySplit="2" topLeftCell="A45" activePane="bottomLeft" state="frozen"/>
      <selection pane="bottomLeft" activeCell="H61" sqref="H61"/>
    </sheetView>
  </sheetViews>
  <sheetFormatPr defaultColWidth="9.140625" defaultRowHeight="14.25" outlineLevelCol="1" x14ac:dyDescent="0.15"/>
  <cols>
    <col min="1" max="1" width="2.85546875" style="1" customWidth="1"/>
    <col min="2" max="2" width="7.5703125" style="1" customWidth="1"/>
    <col min="3" max="3" width="18.140625" style="1" bestFit="1" customWidth="1"/>
    <col min="4" max="4" width="11.140625" style="1" customWidth="1"/>
    <col min="5" max="7" width="10.5703125" style="1" customWidth="1"/>
    <col min="8" max="8" width="10" style="1" customWidth="1"/>
    <col min="9" max="13" width="10.5703125" style="1" customWidth="1"/>
    <col min="14" max="14" width="2.28515625" style="1" customWidth="1" outlineLevel="1"/>
    <col min="15" max="15" width="11.28515625" style="4" bestFit="1" customWidth="1" outlineLevel="1"/>
    <col min="16" max="16" width="1.5703125" style="4" customWidth="1" outlineLevel="1"/>
    <col min="17" max="17" width="20.7109375" style="1" customWidth="1" outlineLevel="1"/>
    <col min="18" max="16384" width="9.140625" style="1"/>
  </cols>
  <sheetData>
    <row r="1" spans="2:17" x14ac:dyDescent="0.15">
      <c r="B1" s="1" t="s">
        <v>303</v>
      </c>
      <c r="G1" s="4" t="s">
        <v>5</v>
      </c>
      <c r="H1" s="2" t="s">
        <v>6</v>
      </c>
      <c r="I1" s="1" t="s">
        <v>7</v>
      </c>
      <c r="O1" s="2" t="s">
        <v>153</v>
      </c>
      <c r="P1" s="2"/>
    </row>
    <row r="2" spans="2:17" x14ac:dyDescent="0.15">
      <c r="B2" s="3" t="s">
        <v>157</v>
      </c>
      <c r="C2" s="3" t="s">
        <v>152</v>
      </c>
      <c r="D2" s="155">
        <v>21</v>
      </c>
      <c r="E2" s="155">
        <f>D2+1</f>
        <v>22</v>
      </c>
      <c r="F2" s="155">
        <f>E2+1</f>
        <v>23</v>
      </c>
      <c r="G2" s="156">
        <f>F2+1</f>
        <v>24</v>
      </c>
      <c r="H2" s="158">
        <f>F2+1</f>
        <v>24</v>
      </c>
      <c r="I2" s="157">
        <f>H2+1</f>
        <v>25</v>
      </c>
      <c r="J2" s="157">
        <f>I2+1</f>
        <v>26</v>
      </c>
      <c r="K2" s="157">
        <f>J2+1</f>
        <v>27</v>
      </c>
      <c r="L2" s="157">
        <f>K2+1</f>
        <v>28</v>
      </c>
      <c r="M2" s="157">
        <f>L2+1</f>
        <v>29</v>
      </c>
      <c r="O2" s="3" t="s">
        <v>13</v>
      </c>
      <c r="P2" s="26"/>
      <c r="Q2" s="7" t="s">
        <v>77</v>
      </c>
    </row>
    <row r="3" spans="2:17" x14ac:dyDescent="0.15">
      <c r="B3" s="8" t="s">
        <v>2</v>
      </c>
      <c r="C3" s="8"/>
      <c r="D3" s="29">
        <f t="shared" ref="D3:M3" si="0">IFERROR(SUM(D4:D6),"-")</f>
        <v>600000</v>
      </c>
      <c r="E3" s="29">
        <f t="shared" si="0"/>
        <v>660000</v>
      </c>
      <c r="F3" s="29">
        <f t="shared" si="0"/>
        <v>720000</v>
      </c>
      <c r="G3" s="29">
        <f t="shared" si="0"/>
        <v>390000</v>
      </c>
      <c r="H3" s="29">
        <f t="shared" si="0"/>
        <v>390000</v>
      </c>
      <c r="I3" s="29">
        <f t="shared" si="0"/>
        <v>820000</v>
      </c>
      <c r="J3" s="29">
        <f t="shared" si="0"/>
        <v>870000</v>
      </c>
      <c r="K3" s="29">
        <f t="shared" si="0"/>
        <v>920000</v>
      </c>
      <c r="L3" s="29">
        <f t="shared" si="0"/>
        <v>970000</v>
      </c>
      <c r="M3" s="29">
        <f t="shared" si="0"/>
        <v>1020000</v>
      </c>
      <c r="O3" s="12">
        <f t="shared" ref="O3:O40" si="1">IFERROR(_xlfn.RRI(M$2-G$2,G3*2,M3), "-")</f>
        <v>5.5118198683204556E-2</v>
      </c>
      <c r="P3" s="15"/>
    </row>
    <row r="4" spans="2:17" x14ac:dyDescent="0.15">
      <c r="C4" s="1" t="s">
        <v>154</v>
      </c>
      <c r="D4" s="14">
        <v>300000</v>
      </c>
      <c r="E4" s="14">
        <v>330000</v>
      </c>
      <c r="F4" s="14">
        <v>350000</v>
      </c>
      <c r="G4" s="159">
        <v>180000</v>
      </c>
      <c r="H4" s="159">
        <v>180000</v>
      </c>
      <c r="I4" s="6">
        <v>400000</v>
      </c>
      <c r="J4" s="6">
        <v>420000</v>
      </c>
      <c r="K4" s="6">
        <v>440000</v>
      </c>
      <c r="L4" s="6">
        <v>460000</v>
      </c>
      <c r="M4" s="6">
        <v>480000</v>
      </c>
      <c r="O4" s="12">
        <f t="shared" si="1"/>
        <v>5.9223841048812176E-2</v>
      </c>
      <c r="P4" s="15"/>
    </row>
    <row r="5" spans="2:17" x14ac:dyDescent="0.15">
      <c r="C5" s="1" t="s">
        <v>155</v>
      </c>
      <c r="D5" s="14">
        <v>200000</v>
      </c>
      <c r="E5" s="14">
        <v>220000</v>
      </c>
      <c r="F5" s="14">
        <v>250000</v>
      </c>
      <c r="G5" s="159">
        <v>130000</v>
      </c>
      <c r="H5" s="159">
        <v>130000</v>
      </c>
      <c r="I5" s="6">
        <v>280000</v>
      </c>
      <c r="J5" s="6">
        <v>300000</v>
      </c>
      <c r="K5" s="6">
        <v>320000</v>
      </c>
      <c r="L5" s="6">
        <v>340000</v>
      </c>
      <c r="M5" s="6">
        <v>360000</v>
      </c>
      <c r="O5" s="12">
        <f t="shared" si="1"/>
        <v>6.7249181879538877E-2</v>
      </c>
      <c r="P5" s="15"/>
    </row>
    <row r="6" spans="2:17" x14ac:dyDescent="0.15">
      <c r="C6" s="1" t="s">
        <v>156</v>
      </c>
      <c r="D6" s="14">
        <v>100000</v>
      </c>
      <c r="E6" s="14">
        <v>110000</v>
      </c>
      <c r="F6" s="14">
        <v>120000</v>
      </c>
      <c r="G6" s="159">
        <v>80000</v>
      </c>
      <c r="H6" s="159">
        <v>80000</v>
      </c>
      <c r="I6" s="6">
        <v>140000</v>
      </c>
      <c r="J6" s="6">
        <v>150000</v>
      </c>
      <c r="K6" s="6">
        <v>160000</v>
      </c>
      <c r="L6" s="6">
        <v>170000</v>
      </c>
      <c r="M6" s="6">
        <v>180000</v>
      </c>
      <c r="O6" s="12">
        <f t="shared" si="1"/>
        <v>2.3836255539609663E-2</v>
      </c>
      <c r="P6" s="15"/>
    </row>
    <row r="7" spans="2:17" x14ac:dyDescent="0.15">
      <c r="B7" s="8" t="s">
        <v>8</v>
      </c>
      <c r="C7" s="8"/>
      <c r="D7" s="29">
        <f t="shared" ref="D7:M7" si="2">IFERROR(SUM(D8,D11,D14),"-")</f>
        <v>430000</v>
      </c>
      <c r="E7" s="29">
        <f t="shared" si="2"/>
        <v>454000</v>
      </c>
      <c r="F7" s="29">
        <f t="shared" si="2"/>
        <v>477000</v>
      </c>
      <c r="G7" s="29">
        <f t="shared" si="2"/>
        <v>254000</v>
      </c>
      <c r="H7" s="29">
        <f t="shared" si="2"/>
        <v>254000</v>
      </c>
      <c r="I7" s="29">
        <f t="shared" si="2"/>
        <v>518000</v>
      </c>
      <c r="J7" s="29">
        <f t="shared" si="2"/>
        <v>538000</v>
      </c>
      <c r="K7" s="29">
        <f t="shared" si="2"/>
        <v>558000</v>
      </c>
      <c r="L7" s="29">
        <f t="shared" si="2"/>
        <v>578000</v>
      </c>
      <c r="M7" s="29">
        <f t="shared" si="2"/>
        <v>598000</v>
      </c>
      <c r="O7" s="12">
        <f t="shared" si="1"/>
        <v>3.315978764139671E-2</v>
      </c>
      <c r="P7" s="15"/>
    </row>
    <row r="8" spans="2:17" x14ac:dyDescent="0.15">
      <c r="C8" s="1" t="s">
        <v>154</v>
      </c>
      <c r="D8" s="32">
        <f>IFERROR(SUM(D9:D10),"-")</f>
        <v>200000</v>
      </c>
      <c r="E8" s="32">
        <f t="shared" ref="E8:M8" si="3">IFERROR(SUM(E9:E10),"-")</f>
        <v>212000</v>
      </c>
      <c r="F8" s="32">
        <f t="shared" si="3"/>
        <v>220000</v>
      </c>
      <c r="G8" s="32">
        <f t="shared" si="3"/>
        <v>112000</v>
      </c>
      <c r="H8" s="32">
        <f t="shared" si="3"/>
        <v>112000</v>
      </c>
      <c r="I8" s="32">
        <f t="shared" si="3"/>
        <v>240000</v>
      </c>
      <c r="J8" s="32">
        <f t="shared" si="3"/>
        <v>248000</v>
      </c>
      <c r="K8" s="32">
        <f t="shared" si="3"/>
        <v>256000</v>
      </c>
      <c r="L8" s="32">
        <f t="shared" si="3"/>
        <v>264000</v>
      </c>
      <c r="M8" s="32">
        <f t="shared" si="3"/>
        <v>272000</v>
      </c>
      <c r="O8" s="12">
        <f t="shared" si="1"/>
        <v>3.9594988207552584E-2</v>
      </c>
      <c r="P8" s="15"/>
    </row>
    <row r="9" spans="2:17" x14ac:dyDescent="0.15">
      <c r="C9" s="51" t="s">
        <v>161</v>
      </c>
      <c r="D9" s="6">
        <v>120000</v>
      </c>
      <c r="E9" s="6">
        <v>132000</v>
      </c>
      <c r="F9" s="6">
        <v>140000</v>
      </c>
      <c r="G9" s="6">
        <v>72000</v>
      </c>
      <c r="H9" s="6">
        <v>72000</v>
      </c>
      <c r="I9" s="6">
        <v>160000</v>
      </c>
      <c r="J9" s="6">
        <v>168000</v>
      </c>
      <c r="K9" s="6">
        <v>176000</v>
      </c>
      <c r="L9" s="6">
        <v>184000</v>
      </c>
      <c r="M9" s="6">
        <v>192000</v>
      </c>
      <c r="O9" s="12">
        <f t="shared" si="1"/>
        <v>5.9223841048812176E-2</v>
      </c>
      <c r="P9" s="15"/>
      <c r="Q9" s="1" t="s">
        <v>160</v>
      </c>
    </row>
    <row r="10" spans="2:17" x14ac:dyDescent="0.15">
      <c r="C10" s="51" t="s">
        <v>159</v>
      </c>
      <c r="D10" s="6">
        <v>80000</v>
      </c>
      <c r="E10" s="6">
        <v>80000</v>
      </c>
      <c r="F10" s="6">
        <v>80000</v>
      </c>
      <c r="G10" s="6">
        <v>40000</v>
      </c>
      <c r="H10" s="6">
        <v>40000</v>
      </c>
      <c r="I10" s="6">
        <v>80000</v>
      </c>
      <c r="J10" s="6">
        <v>80000</v>
      </c>
      <c r="K10" s="6">
        <v>80000</v>
      </c>
      <c r="L10" s="6">
        <v>80000</v>
      </c>
      <c r="M10" s="6">
        <v>80000</v>
      </c>
      <c r="O10" s="12">
        <f t="shared" si="1"/>
        <v>0</v>
      </c>
      <c r="P10" s="15"/>
      <c r="Q10" s="1" t="s">
        <v>158</v>
      </c>
    </row>
    <row r="11" spans="2:17" x14ac:dyDescent="0.15">
      <c r="C11" s="1" t="s">
        <v>155</v>
      </c>
      <c r="D11" s="32">
        <f>IFERROR(SUM(D12:D13),"-")</f>
        <v>120000</v>
      </c>
      <c r="E11" s="32">
        <f t="shared" ref="E11" si="4">IFERROR(SUM(E12:E13),"-")</f>
        <v>126000</v>
      </c>
      <c r="F11" s="32">
        <f t="shared" ref="F11" si="5">IFERROR(SUM(F12:F13),"-")</f>
        <v>135000</v>
      </c>
      <c r="G11" s="32">
        <f t="shared" ref="G11" si="6">IFERROR(SUM(G12:G13),"-")</f>
        <v>69000</v>
      </c>
      <c r="H11" s="32">
        <f t="shared" ref="H11" si="7">IFERROR(SUM(H12:H13),"-")</f>
        <v>69000</v>
      </c>
      <c r="I11" s="32">
        <f t="shared" ref="I11" si="8">IFERROR(SUM(I12:I13),"-")</f>
        <v>144000</v>
      </c>
      <c r="J11" s="32">
        <f t="shared" ref="J11" si="9">IFERROR(SUM(J12:J13),"-")</f>
        <v>150000</v>
      </c>
      <c r="K11" s="32">
        <f t="shared" ref="K11" si="10">IFERROR(SUM(K12:K13),"-")</f>
        <v>156000</v>
      </c>
      <c r="L11" s="32">
        <f t="shared" ref="L11" si="11">IFERROR(SUM(L12:L13),"-")</f>
        <v>162000</v>
      </c>
      <c r="M11" s="32">
        <f t="shared" ref="M11" si="12">IFERROR(SUM(M12:M13),"-")</f>
        <v>168000</v>
      </c>
      <c r="O11" s="12">
        <f t="shared" si="1"/>
        <v>4.0126207180960938E-2</v>
      </c>
      <c r="P11" s="15"/>
    </row>
    <row r="12" spans="2:17" x14ac:dyDescent="0.15">
      <c r="C12" s="51" t="s">
        <v>161</v>
      </c>
      <c r="D12" s="6">
        <v>60000</v>
      </c>
      <c r="E12" s="6">
        <v>66000</v>
      </c>
      <c r="F12" s="6">
        <v>75000</v>
      </c>
      <c r="G12" s="6">
        <v>39000</v>
      </c>
      <c r="H12" s="6">
        <v>39000</v>
      </c>
      <c r="I12" s="6">
        <v>84000</v>
      </c>
      <c r="J12" s="6">
        <v>90000</v>
      </c>
      <c r="K12" s="6">
        <v>96000</v>
      </c>
      <c r="L12" s="6">
        <v>102000</v>
      </c>
      <c r="M12" s="6">
        <v>108000</v>
      </c>
      <c r="O12" s="12">
        <f t="shared" si="1"/>
        <v>6.7249181879538877E-2</v>
      </c>
      <c r="P12" s="15"/>
    </row>
    <row r="13" spans="2:17" x14ac:dyDescent="0.15">
      <c r="C13" s="51" t="s">
        <v>159</v>
      </c>
      <c r="D13" s="6">
        <v>60000</v>
      </c>
      <c r="E13" s="6">
        <v>60000</v>
      </c>
      <c r="F13" s="6">
        <v>60000</v>
      </c>
      <c r="G13" s="6">
        <v>30000</v>
      </c>
      <c r="H13" s="6">
        <v>30000</v>
      </c>
      <c r="I13" s="6">
        <v>60000</v>
      </c>
      <c r="J13" s="6">
        <v>60000</v>
      </c>
      <c r="K13" s="6">
        <v>60000</v>
      </c>
      <c r="L13" s="6">
        <v>60000</v>
      </c>
      <c r="M13" s="6">
        <v>60000</v>
      </c>
      <c r="O13" s="12">
        <f t="shared" si="1"/>
        <v>0</v>
      </c>
      <c r="P13" s="15"/>
    </row>
    <row r="14" spans="2:17" x14ac:dyDescent="0.15">
      <c r="C14" s="1" t="s">
        <v>156</v>
      </c>
      <c r="D14" s="32">
        <f>IFERROR(SUM(D15:D16),"-")</f>
        <v>110000</v>
      </c>
      <c r="E14" s="32">
        <f t="shared" ref="E14" si="13">IFERROR(SUM(E15:E16),"-")</f>
        <v>116000</v>
      </c>
      <c r="F14" s="32">
        <f t="shared" ref="F14" si="14">IFERROR(SUM(F15:F16),"-")</f>
        <v>122000</v>
      </c>
      <c r="G14" s="32">
        <f t="shared" ref="G14" si="15">IFERROR(SUM(G15:G16),"-")</f>
        <v>73000</v>
      </c>
      <c r="H14" s="32">
        <f t="shared" ref="H14" si="16">IFERROR(SUM(H15:H16),"-")</f>
        <v>73000</v>
      </c>
      <c r="I14" s="32">
        <f t="shared" ref="I14" si="17">IFERROR(SUM(I15:I16),"-")</f>
        <v>134000</v>
      </c>
      <c r="J14" s="32">
        <f t="shared" ref="J14" si="18">IFERROR(SUM(J15:J16),"-")</f>
        <v>140000</v>
      </c>
      <c r="K14" s="32">
        <f t="shared" ref="K14" si="19">IFERROR(SUM(K15:K16),"-")</f>
        <v>146000</v>
      </c>
      <c r="L14" s="32">
        <f t="shared" ref="L14" si="20">IFERROR(SUM(L15:L16),"-")</f>
        <v>152000</v>
      </c>
      <c r="M14" s="32">
        <f t="shared" ref="M14" si="21">IFERROR(SUM(M15:M16),"-")</f>
        <v>158000</v>
      </c>
      <c r="O14" s="12">
        <f t="shared" si="1"/>
        <v>1.5923125345624678E-2</v>
      </c>
      <c r="P14" s="15"/>
    </row>
    <row r="15" spans="2:17" x14ac:dyDescent="0.15">
      <c r="C15" s="51" t="s">
        <v>161</v>
      </c>
      <c r="D15" s="6">
        <v>60000</v>
      </c>
      <c r="E15" s="6">
        <v>66000</v>
      </c>
      <c r="F15" s="6">
        <v>72000</v>
      </c>
      <c r="G15" s="6">
        <v>48000</v>
      </c>
      <c r="H15" s="6">
        <v>48000</v>
      </c>
      <c r="I15" s="6">
        <v>84000</v>
      </c>
      <c r="J15" s="6">
        <v>90000</v>
      </c>
      <c r="K15" s="6">
        <v>96000</v>
      </c>
      <c r="L15" s="6">
        <v>102000</v>
      </c>
      <c r="M15" s="6">
        <v>108000</v>
      </c>
      <c r="O15" s="12">
        <f t="shared" si="1"/>
        <v>2.3836255539609663E-2</v>
      </c>
      <c r="P15" s="15"/>
    </row>
    <row r="16" spans="2:17" x14ac:dyDescent="0.15">
      <c r="C16" s="51" t="s">
        <v>159</v>
      </c>
      <c r="D16" s="6">
        <v>50000</v>
      </c>
      <c r="E16" s="6">
        <v>50000</v>
      </c>
      <c r="F16" s="6">
        <v>50000</v>
      </c>
      <c r="G16" s="6">
        <v>25000</v>
      </c>
      <c r="H16" s="6">
        <v>25000</v>
      </c>
      <c r="I16" s="6">
        <v>50000</v>
      </c>
      <c r="J16" s="6">
        <v>50000</v>
      </c>
      <c r="K16" s="6">
        <v>50000</v>
      </c>
      <c r="L16" s="6">
        <v>50000</v>
      </c>
      <c r="M16" s="6">
        <v>50000</v>
      </c>
      <c r="O16" s="12">
        <f t="shared" si="1"/>
        <v>0</v>
      </c>
      <c r="P16" s="15"/>
    </row>
    <row r="17" spans="2:32" x14ac:dyDescent="0.15">
      <c r="B17" s="1" t="s">
        <v>208</v>
      </c>
      <c r="C17" s="219"/>
      <c r="D17" s="6">
        <f>10000</f>
        <v>10000</v>
      </c>
      <c r="E17" s="6">
        <v>15000</v>
      </c>
      <c r="F17" s="6">
        <v>20000</v>
      </c>
      <c r="G17" s="6">
        <v>10000</v>
      </c>
      <c r="H17" s="6">
        <v>10000</v>
      </c>
      <c r="I17" s="6">
        <v>9000</v>
      </c>
      <c r="J17" s="6">
        <v>8000</v>
      </c>
      <c r="K17" s="6">
        <v>7000</v>
      </c>
      <c r="L17" s="6">
        <v>6000</v>
      </c>
      <c r="M17" s="6">
        <v>5000</v>
      </c>
      <c r="O17" s="12">
        <f t="shared" si="1"/>
        <v>-0.24214171674480089</v>
      </c>
      <c r="P17" s="15"/>
    </row>
    <row r="18" spans="2:32" x14ac:dyDescent="0.15">
      <c r="B18" s="8" t="s">
        <v>10</v>
      </c>
      <c r="C18" s="8"/>
      <c r="D18" s="29">
        <f>IFERROR(SUM(D19:D21),"-")</f>
        <v>170000</v>
      </c>
      <c r="E18" s="29">
        <f t="shared" ref="E18" si="22">IFERROR(SUM(E19:E21),"-")</f>
        <v>206000</v>
      </c>
      <c r="F18" s="29">
        <f t="shared" ref="F18" si="23">IFERROR(SUM(F19:F21),"-")</f>
        <v>243000</v>
      </c>
      <c r="G18" s="29">
        <f t="shared" ref="G18" si="24">IFERROR(SUM(G19:G21),"-")</f>
        <v>136000</v>
      </c>
      <c r="H18" s="29">
        <f t="shared" ref="H18" si="25">IFERROR(SUM(H19:H21),"-")</f>
        <v>136000</v>
      </c>
      <c r="I18" s="29">
        <f t="shared" ref="I18" si="26">IFERROR(SUM(I19:I21),"-")</f>
        <v>302000</v>
      </c>
      <c r="J18" s="29">
        <f t="shared" ref="J18" si="27">IFERROR(SUM(J19:J21),"-")</f>
        <v>332000</v>
      </c>
      <c r="K18" s="29">
        <f t="shared" ref="K18" si="28">IFERROR(SUM(K19:K21),"-")</f>
        <v>362000</v>
      </c>
      <c r="L18" s="29">
        <f t="shared" ref="L18" si="29">IFERROR(SUM(L19:L21),"-")</f>
        <v>392000</v>
      </c>
      <c r="M18" s="29">
        <f t="shared" ref="M18" si="30">IFERROR(SUM(M19:M21),"-")</f>
        <v>422000</v>
      </c>
      <c r="O18" s="12">
        <f t="shared" si="1"/>
        <v>9.1814127090831033E-2</v>
      </c>
      <c r="P18" s="15"/>
    </row>
    <row r="19" spans="2:32" x14ac:dyDescent="0.15">
      <c r="C19" s="1" t="s">
        <v>154</v>
      </c>
      <c r="D19" s="6">
        <f t="shared" ref="D19:M19" si="31">D4-D8</f>
        <v>100000</v>
      </c>
      <c r="E19" s="6">
        <f t="shared" si="31"/>
        <v>118000</v>
      </c>
      <c r="F19" s="6">
        <f t="shared" si="31"/>
        <v>130000</v>
      </c>
      <c r="G19" s="6">
        <f t="shared" si="31"/>
        <v>68000</v>
      </c>
      <c r="H19" s="6">
        <f t="shared" si="31"/>
        <v>68000</v>
      </c>
      <c r="I19" s="6">
        <f t="shared" si="31"/>
        <v>160000</v>
      </c>
      <c r="J19" s="6">
        <f t="shared" si="31"/>
        <v>172000</v>
      </c>
      <c r="K19" s="6">
        <f t="shared" si="31"/>
        <v>184000</v>
      </c>
      <c r="L19" s="6">
        <f t="shared" si="31"/>
        <v>196000</v>
      </c>
      <c r="M19" s="6">
        <f t="shared" si="31"/>
        <v>208000</v>
      </c>
      <c r="O19" s="12">
        <f t="shared" si="1"/>
        <v>8.8691633250776114E-2</v>
      </c>
      <c r="P19" s="15"/>
    </row>
    <row r="20" spans="2:32" x14ac:dyDescent="0.15">
      <c r="C20" s="1" t="s">
        <v>155</v>
      </c>
      <c r="D20" s="6">
        <f t="shared" ref="D20:M20" si="32">D5-D11</f>
        <v>80000</v>
      </c>
      <c r="E20" s="6">
        <f t="shared" si="32"/>
        <v>94000</v>
      </c>
      <c r="F20" s="6">
        <f t="shared" si="32"/>
        <v>115000</v>
      </c>
      <c r="G20" s="6">
        <f t="shared" si="32"/>
        <v>61000</v>
      </c>
      <c r="H20" s="6">
        <f t="shared" si="32"/>
        <v>61000</v>
      </c>
      <c r="I20" s="6">
        <f t="shared" si="32"/>
        <v>136000</v>
      </c>
      <c r="J20" s="6">
        <f t="shared" si="32"/>
        <v>150000</v>
      </c>
      <c r="K20" s="6">
        <f t="shared" si="32"/>
        <v>164000</v>
      </c>
      <c r="L20" s="6">
        <f t="shared" si="32"/>
        <v>178000</v>
      </c>
      <c r="M20" s="6">
        <f t="shared" si="32"/>
        <v>192000</v>
      </c>
      <c r="O20" s="12">
        <f t="shared" si="1"/>
        <v>9.4934851836638412E-2</v>
      </c>
      <c r="P20" s="15"/>
    </row>
    <row r="21" spans="2:32" x14ac:dyDescent="0.15">
      <c r="C21" s="1" t="s">
        <v>156</v>
      </c>
      <c r="D21" s="6">
        <f t="shared" ref="D21:M21" si="33">D6-D14</f>
        <v>-10000</v>
      </c>
      <c r="E21" s="6">
        <f t="shared" si="33"/>
        <v>-6000</v>
      </c>
      <c r="F21" s="6">
        <f t="shared" si="33"/>
        <v>-2000</v>
      </c>
      <c r="G21" s="6">
        <f t="shared" si="33"/>
        <v>7000</v>
      </c>
      <c r="H21" s="6">
        <f t="shared" si="33"/>
        <v>7000</v>
      </c>
      <c r="I21" s="6">
        <f t="shared" si="33"/>
        <v>6000</v>
      </c>
      <c r="J21" s="6">
        <f t="shared" si="33"/>
        <v>10000</v>
      </c>
      <c r="K21" s="6">
        <f t="shared" si="33"/>
        <v>14000</v>
      </c>
      <c r="L21" s="6">
        <f t="shared" si="33"/>
        <v>18000</v>
      </c>
      <c r="M21" s="6">
        <f t="shared" si="33"/>
        <v>22000</v>
      </c>
      <c r="O21" s="12">
        <f t="shared" si="1"/>
        <v>9.4608784223157549E-2</v>
      </c>
      <c r="P21" s="15"/>
    </row>
    <row r="22" spans="2:32" x14ac:dyDescent="0.15">
      <c r="B22" s="8" t="s">
        <v>11</v>
      </c>
      <c r="C22" s="8"/>
      <c r="D22" s="29">
        <f>IFERROR(SUM(D23:D39),"-")</f>
        <v>163100</v>
      </c>
      <c r="E22" s="29">
        <f t="shared" ref="E22:M22" si="34">IFERROR(SUM(E23:E39),"-")</f>
        <v>179035</v>
      </c>
      <c r="F22" s="29">
        <f t="shared" si="34"/>
        <v>196695</v>
      </c>
      <c r="G22" s="29">
        <f t="shared" si="34"/>
        <v>111381</v>
      </c>
      <c r="H22" s="29">
        <f t="shared" si="34"/>
        <v>111381</v>
      </c>
      <c r="I22" s="29">
        <f t="shared" si="34"/>
        <v>239795</v>
      </c>
      <c r="J22" s="29">
        <f t="shared" si="34"/>
        <v>254199</v>
      </c>
      <c r="K22" s="29">
        <f t="shared" si="34"/>
        <v>269044</v>
      </c>
      <c r="L22" s="29">
        <f t="shared" si="34"/>
        <v>284374</v>
      </c>
      <c r="M22" s="29">
        <f t="shared" si="34"/>
        <v>300236</v>
      </c>
      <c r="N22" s="52"/>
      <c r="O22" s="12">
        <f t="shared" si="1"/>
        <v>6.1510590490401862E-2</v>
      </c>
      <c r="P22" s="15"/>
    </row>
    <row r="23" spans="2:32" x14ac:dyDescent="0.15">
      <c r="C23" s="1" t="s">
        <v>32</v>
      </c>
      <c r="D23" s="6">
        <v>500</v>
      </c>
      <c r="E23" s="6">
        <v>500</v>
      </c>
      <c r="F23" s="6">
        <v>500</v>
      </c>
      <c r="G23" s="6">
        <v>500</v>
      </c>
      <c r="H23" s="6">
        <v>500</v>
      </c>
      <c r="I23" s="6">
        <v>500</v>
      </c>
      <c r="J23" s="6">
        <v>500</v>
      </c>
      <c r="K23" s="6">
        <v>500</v>
      </c>
      <c r="L23" s="6">
        <v>500</v>
      </c>
      <c r="M23" s="6">
        <v>500</v>
      </c>
      <c r="O23" s="12">
        <f t="shared" si="1"/>
        <v>-0.12944943670387588</v>
      </c>
      <c r="Q23" s="1" t="str">
        <f>Parameter設定!K36</f>
        <v>固定費</v>
      </c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</row>
    <row r="24" spans="2:32" x14ac:dyDescent="0.15">
      <c r="C24" s="1" t="s">
        <v>33</v>
      </c>
      <c r="D24" s="6">
        <v>120000</v>
      </c>
      <c r="E24" s="6">
        <v>133200</v>
      </c>
      <c r="F24" s="6">
        <v>147852</v>
      </c>
      <c r="G24" s="6">
        <v>82057</v>
      </c>
      <c r="H24" s="6">
        <v>82057</v>
      </c>
      <c r="I24" s="6">
        <v>180000</v>
      </c>
      <c r="J24" s="6">
        <v>190000</v>
      </c>
      <c r="K24" s="6">
        <v>200000</v>
      </c>
      <c r="L24" s="6">
        <v>210000</v>
      </c>
      <c r="M24" s="6">
        <v>220000</v>
      </c>
      <c r="O24" s="12">
        <f t="shared" si="1"/>
        <v>6.0365062706940309E-2</v>
      </c>
      <c r="P24" s="15"/>
      <c r="Q24" s="1" t="str">
        <f>Parameter設定!K37</f>
        <v>固定費</v>
      </c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</row>
    <row r="25" spans="2:32" x14ac:dyDescent="0.15">
      <c r="C25" s="1" t="s">
        <v>34</v>
      </c>
      <c r="D25" s="6">
        <v>10000</v>
      </c>
      <c r="E25" s="6">
        <v>11000</v>
      </c>
      <c r="F25" s="6">
        <v>12100</v>
      </c>
      <c r="G25" s="6">
        <v>6655</v>
      </c>
      <c r="H25" s="6">
        <v>6655</v>
      </c>
      <c r="I25" s="6">
        <v>16105</v>
      </c>
      <c r="J25" s="6">
        <v>17715</v>
      </c>
      <c r="K25" s="6">
        <v>19487</v>
      </c>
      <c r="L25" s="6">
        <v>21435</v>
      </c>
      <c r="M25" s="6">
        <v>23579</v>
      </c>
      <c r="O25" s="12">
        <f t="shared" si="1"/>
        <v>0.12116482883043078</v>
      </c>
      <c r="P25" s="15"/>
      <c r="Q25" s="1" t="str">
        <f>Parameter設定!K38</f>
        <v>変動費</v>
      </c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</row>
    <row r="26" spans="2:32" x14ac:dyDescent="0.15">
      <c r="C26" s="1" t="s">
        <v>35</v>
      </c>
      <c r="D26" s="11">
        <v>15000</v>
      </c>
      <c r="E26" s="6">
        <v>16500</v>
      </c>
      <c r="F26" s="6">
        <v>18150</v>
      </c>
      <c r="G26" s="6">
        <v>9982</v>
      </c>
      <c r="H26" s="6">
        <v>9982</v>
      </c>
      <c r="I26" s="6">
        <v>24157</v>
      </c>
      <c r="J26" s="6">
        <v>26573</v>
      </c>
      <c r="K26" s="6">
        <v>29230</v>
      </c>
      <c r="L26" s="6">
        <v>32153</v>
      </c>
      <c r="M26" s="6">
        <v>35369</v>
      </c>
      <c r="O26" s="12">
        <f t="shared" si="1"/>
        <v>0.12117923043787804</v>
      </c>
      <c r="P26" s="15"/>
      <c r="Q26" s="1" t="str">
        <f>Parameter設定!K39</f>
        <v>固定費</v>
      </c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</row>
    <row r="27" spans="2:32" x14ac:dyDescent="0.15">
      <c r="C27" s="1" t="s">
        <v>36</v>
      </c>
      <c r="D27" s="6">
        <v>1000</v>
      </c>
      <c r="E27" s="6">
        <v>1000</v>
      </c>
      <c r="F27" s="6">
        <v>1000</v>
      </c>
      <c r="G27" s="6">
        <v>1000</v>
      </c>
      <c r="H27" s="6">
        <v>1000</v>
      </c>
      <c r="I27" s="6">
        <v>1000</v>
      </c>
      <c r="J27" s="6">
        <v>1000</v>
      </c>
      <c r="K27" s="6">
        <v>1000</v>
      </c>
      <c r="L27" s="6">
        <v>1000</v>
      </c>
      <c r="M27" s="6">
        <v>1000</v>
      </c>
      <c r="O27" s="12">
        <f t="shared" si="1"/>
        <v>-0.12944943670387588</v>
      </c>
      <c r="P27" s="15"/>
      <c r="Q27" s="1" t="str">
        <f>Parameter設定!K40</f>
        <v>固定費</v>
      </c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</row>
    <row r="28" spans="2:32" x14ac:dyDescent="0.15">
      <c r="C28" s="1" t="s">
        <v>37</v>
      </c>
      <c r="D28" s="6">
        <v>300</v>
      </c>
      <c r="E28" s="6">
        <v>330</v>
      </c>
      <c r="F28" s="6">
        <v>363</v>
      </c>
      <c r="G28" s="6">
        <v>199</v>
      </c>
      <c r="H28" s="6">
        <v>199</v>
      </c>
      <c r="I28" s="6">
        <v>483</v>
      </c>
      <c r="J28" s="6">
        <v>531</v>
      </c>
      <c r="K28" s="6">
        <v>584</v>
      </c>
      <c r="L28" s="6">
        <v>643</v>
      </c>
      <c r="M28" s="6">
        <v>707</v>
      </c>
      <c r="O28" s="12">
        <f t="shared" si="1"/>
        <v>0.12177890366159061</v>
      </c>
      <c r="P28" s="15"/>
      <c r="Q28" s="1" t="str">
        <f>Parameter設定!K41</f>
        <v>変動費</v>
      </c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</row>
    <row r="29" spans="2:32" x14ac:dyDescent="0.15">
      <c r="C29" s="1" t="s">
        <v>9</v>
      </c>
      <c r="D29" s="6">
        <v>5000</v>
      </c>
      <c r="E29" s="6">
        <v>5000</v>
      </c>
      <c r="F29" s="6">
        <v>5000</v>
      </c>
      <c r="G29" s="6">
        <v>2500</v>
      </c>
      <c r="H29" s="6">
        <v>2500</v>
      </c>
      <c r="I29" s="6">
        <v>5000</v>
      </c>
      <c r="J29" s="6">
        <v>5000</v>
      </c>
      <c r="K29" s="6">
        <v>5000</v>
      </c>
      <c r="L29" s="6">
        <v>5000</v>
      </c>
      <c r="M29" s="6">
        <v>5000</v>
      </c>
      <c r="O29" s="12">
        <f t="shared" si="1"/>
        <v>0</v>
      </c>
      <c r="P29" s="15"/>
      <c r="Q29" s="1" t="str">
        <f>Parameter設定!K42</f>
        <v>固定費</v>
      </c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</row>
    <row r="30" spans="2:32" x14ac:dyDescent="0.15">
      <c r="C30" s="1" t="s">
        <v>38</v>
      </c>
      <c r="D30" s="6">
        <v>1000</v>
      </c>
      <c r="E30" s="6">
        <v>1100</v>
      </c>
      <c r="F30" s="6">
        <v>1210</v>
      </c>
      <c r="G30" s="6">
        <v>665</v>
      </c>
      <c r="H30" s="6">
        <v>665</v>
      </c>
      <c r="I30" s="6">
        <v>1610</v>
      </c>
      <c r="J30" s="6">
        <v>1771</v>
      </c>
      <c r="K30" s="6">
        <v>1948</v>
      </c>
      <c r="L30" s="6">
        <v>2143</v>
      </c>
      <c r="M30" s="6">
        <v>2357</v>
      </c>
      <c r="O30" s="12">
        <f t="shared" si="1"/>
        <v>0.12124775969226076</v>
      </c>
      <c r="P30" s="15"/>
      <c r="Q30" s="1" t="str">
        <f>Parameter設定!K43</f>
        <v>変動費</v>
      </c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</row>
    <row r="31" spans="2:32" x14ac:dyDescent="0.15">
      <c r="C31" s="1" t="s">
        <v>39</v>
      </c>
      <c r="D31" s="6">
        <v>50</v>
      </c>
      <c r="E31" s="6">
        <v>50</v>
      </c>
      <c r="F31" s="6">
        <v>50</v>
      </c>
      <c r="G31" s="6">
        <v>25</v>
      </c>
      <c r="H31" s="6">
        <v>25</v>
      </c>
      <c r="I31" s="6">
        <v>50</v>
      </c>
      <c r="J31" s="6">
        <v>50</v>
      </c>
      <c r="K31" s="6">
        <v>50</v>
      </c>
      <c r="L31" s="6">
        <v>50</v>
      </c>
      <c r="M31" s="6">
        <v>50</v>
      </c>
      <c r="O31" s="12">
        <f t="shared" si="1"/>
        <v>0</v>
      </c>
      <c r="P31" s="15"/>
      <c r="Q31" s="1" t="str">
        <f>Parameter設定!K44</f>
        <v>固定費</v>
      </c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</row>
    <row r="32" spans="2:32" x14ac:dyDescent="0.15">
      <c r="C32" s="1" t="s">
        <v>40</v>
      </c>
      <c r="D32" s="6">
        <v>1000</v>
      </c>
      <c r="E32" s="6">
        <v>1100</v>
      </c>
      <c r="F32" s="6">
        <v>1210</v>
      </c>
      <c r="G32" s="6">
        <v>665</v>
      </c>
      <c r="H32" s="6">
        <v>665</v>
      </c>
      <c r="I32" s="6">
        <v>1610</v>
      </c>
      <c r="J32" s="6">
        <v>1771</v>
      </c>
      <c r="K32" s="6">
        <v>1948</v>
      </c>
      <c r="L32" s="6">
        <v>2143</v>
      </c>
      <c r="M32" s="6">
        <v>2357</v>
      </c>
      <c r="O32" s="12">
        <f t="shared" si="1"/>
        <v>0.12124775969226076</v>
      </c>
      <c r="P32" s="15"/>
      <c r="Q32" s="1" t="str">
        <f>Parameter設定!K45</f>
        <v>変動費</v>
      </c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</row>
    <row r="33" spans="2:32" x14ac:dyDescent="0.15">
      <c r="C33" s="1" t="s">
        <v>41</v>
      </c>
      <c r="D33" s="6">
        <v>3000</v>
      </c>
      <c r="E33" s="6">
        <v>3000</v>
      </c>
      <c r="F33" s="6">
        <v>3000</v>
      </c>
      <c r="G33" s="6">
        <v>1500</v>
      </c>
      <c r="H33" s="6">
        <v>1500</v>
      </c>
      <c r="I33" s="6">
        <v>3000</v>
      </c>
      <c r="J33" s="6">
        <v>3000</v>
      </c>
      <c r="K33" s="6">
        <v>3000</v>
      </c>
      <c r="L33" s="6">
        <v>3000</v>
      </c>
      <c r="M33" s="6">
        <v>3000</v>
      </c>
      <c r="O33" s="12">
        <f t="shared" si="1"/>
        <v>0</v>
      </c>
      <c r="P33" s="15"/>
      <c r="Q33" s="1" t="str">
        <f>Parameter設定!K46</f>
        <v>固定費</v>
      </c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</row>
    <row r="34" spans="2:32" x14ac:dyDescent="0.15">
      <c r="C34" s="1" t="s">
        <v>42</v>
      </c>
      <c r="D34" s="6">
        <v>50</v>
      </c>
      <c r="E34" s="6">
        <v>55</v>
      </c>
      <c r="F34" s="6">
        <v>60</v>
      </c>
      <c r="G34" s="6">
        <v>33</v>
      </c>
      <c r="H34" s="6">
        <v>33</v>
      </c>
      <c r="I34" s="6">
        <v>80</v>
      </c>
      <c r="J34" s="6">
        <v>88</v>
      </c>
      <c r="K34" s="6">
        <v>97</v>
      </c>
      <c r="L34" s="6">
        <v>107</v>
      </c>
      <c r="M34" s="6">
        <v>117</v>
      </c>
      <c r="O34" s="12">
        <f t="shared" si="1"/>
        <v>0.12131694529164561</v>
      </c>
      <c r="P34" s="15"/>
      <c r="Q34" s="1" t="str">
        <f>Parameter設定!K47</f>
        <v>固定費</v>
      </c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</row>
    <row r="35" spans="2:32" x14ac:dyDescent="0.15">
      <c r="C35" s="1" t="s">
        <v>43</v>
      </c>
      <c r="D35" s="6">
        <v>100</v>
      </c>
      <c r="E35" s="6">
        <v>100</v>
      </c>
      <c r="F35" s="6">
        <v>100</v>
      </c>
      <c r="G35" s="6">
        <v>50</v>
      </c>
      <c r="H35" s="6">
        <v>50</v>
      </c>
      <c r="I35" s="6">
        <v>100</v>
      </c>
      <c r="J35" s="6">
        <v>100</v>
      </c>
      <c r="K35" s="6">
        <v>100</v>
      </c>
      <c r="L35" s="6">
        <v>100</v>
      </c>
      <c r="M35" s="6">
        <v>100</v>
      </c>
      <c r="O35" s="12">
        <f t="shared" si="1"/>
        <v>0</v>
      </c>
      <c r="P35" s="15"/>
      <c r="Q35" s="1" t="str">
        <f>Parameter設定!K48</f>
        <v>固定費</v>
      </c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</row>
    <row r="36" spans="2:32" x14ac:dyDescent="0.15">
      <c r="C36" s="1" t="s">
        <v>44</v>
      </c>
      <c r="D36" s="6">
        <v>50</v>
      </c>
      <c r="E36" s="6">
        <v>50</v>
      </c>
      <c r="F36" s="6">
        <v>50</v>
      </c>
      <c r="G36" s="6">
        <v>25</v>
      </c>
      <c r="H36" s="6">
        <v>25</v>
      </c>
      <c r="I36" s="6">
        <v>50</v>
      </c>
      <c r="J36" s="6">
        <v>50</v>
      </c>
      <c r="K36" s="6">
        <v>50</v>
      </c>
      <c r="L36" s="6">
        <v>50</v>
      </c>
      <c r="M36" s="6">
        <v>50</v>
      </c>
      <c r="O36" s="12">
        <f t="shared" si="1"/>
        <v>0</v>
      </c>
      <c r="P36" s="15"/>
      <c r="Q36" s="1" t="str">
        <f>Parameter設定!K49</f>
        <v>固定費</v>
      </c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</row>
    <row r="37" spans="2:32" x14ac:dyDescent="0.15">
      <c r="C37" s="1" t="s">
        <v>45</v>
      </c>
      <c r="D37" s="6">
        <v>5000</v>
      </c>
      <c r="E37" s="6">
        <v>5000</v>
      </c>
      <c r="F37" s="6">
        <v>5000</v>
      </c>
      <c r="G37" s="6">
        <v>5000</v>
      </c>
      <c r="H37" s="6">
        <v>5000</v>
      </c>
      <c r="I37" s="6">
        <v>5000</v>
      </c>
      <c r="J37" s="6">
        <v>5000</v>
      </c>
      <c r="K37" s="6">
        <v>5000</v>
      </c>
      <c r="L37" s="6">
        <v>5000</v>
      </c>
      <c r="M37" s="6">
        <v>5000</v>
      </c>
      <c r="O37" s="12">
        <f t="shared" si="1"/>
        <v>-0.12944943670387588</v>
      </c>
      <c r="P37" s="15"/>
      <c r="Q37" s="1" t="str">
        <f>Parameter設定!K50</f>
        <v>固定費</v>
      </c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</row>
    <row r="38" spans="2:32" x14ac:dyDescent="0.15">
      <c r="C38" s="1" t="s">
        <v>46</v>
      </c>
      <c r="D38" s="6">
        <v>50</v>
      </c>
      <c r="E38" s="6">
        <v>50</v>
      </c>
      <c r="F38" s="6">
        <v>50</v>
      </c>
      <c r="G38" s="6">
        <v>25</v>
      </c>
      <c r="H38" s="6">
        <v>25</v>
      </c>
      <c r="I38" s="6">
        <v>50</v>
      </c>
      <c r="J38" s="6">
        <v>50</v>
      </c>
      <c r="K38" s="6">
        <v>50</v>
      </c>
      <c r="L38" s="6">
        <v>50</v>
      </c>
      <c r="M38" s="6">
        <v>50</v>
      </c>
      <c r="O38" s="12">
        <f t="shared" si="1"/>
        <v>0</v>
      </c>
      <c r="P38" s="15"/>
      <c r="Q38" s="1" t="str">
        <f>Parameter設定!K51</f>
        <v>固定費</v>
      </c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  <c r="AE38" s="20"/>
      <c r="AF38" s="20"/>
    </row>
    <row r="39" spans="2:32" x14ac:dyDescent="0.15">
      <c r="C39" s="1" t="s">
        <v>47</v>
      </c>
      <c r="D39" s="6">
        <v>1000</v>
      </c>
      <c r="E39" s="6">
        <v>1000</v>
      </c>
      <c r="F39" s="6">
        <v>1000</v>
      </c>
      <c r="G39" s="6">
        <v>500</v>
      </c>
      <c r="H39" s="6">
        <v>500</v>
      </c>
      <c r="I39" s="6">
        <v>1000</v>
      </c>
      <c r="J39" s="6">
        <v>1000</v>
      </c>
      <c r="K39" s="6">
        <v>1000</v>
      </c>
      <c r="L39" s="6">
        <v>1000</v>
      </c>
      <c r="M39" s="6">
        <v>1000</v>
      </c>
      <c r="O39" s="12">
        <f t="shared" si="1"/>
        <v>0</v>
      </c>
      <c r="P39" s="15"/>
      <c r="Q39" s="1" t="str">
        <f>Parameter設定!K52</f>
        <v>固定費</v>
      </c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</row>
    <row r="40" spans="2:32" x14ac:dyDescent="0.15">
      <c r="B40" s="8" t="s">
        <v>12</v>
      </c>
      <c r="C40" s="8"/>
      <c r="D40" s="29">
        <f t="shared" ref="D40:M40" si="35">D18-D22</f>
        <v>6900</v>
      </c>
      <c r="E40" s="29">
        <f t="shared" si="35"/>
        <v>26965</v>
      </c>
      <c r="F40" s="29">
        <f t="shared" si="35"/>
        <v>46305</v>
      </c>
      <c r="G40" s="29">
        <f t="shared" si="35"/>
        <v>24619</v>
      </c>
      <c r="H40" s="29">
        <f t="shared" si="35"/>
        <v>24619</v>
      </c>
      <c r="I40" s="29">
        <f t="shared" si="35"/>
        <v>62205</v>
      </c>
      <c r="J40" s="29">
        <f t="shared" si="35"/>
        <v>77801</v>
      </c>
      <c r="K40" s="29">
        <f t="shared" si="35"/>
        <v>92956</v>
      </c>
      <c r="L40" s="29">
        <f t="shared" si="35"/>
        <v>107626</v>
      </c>
      <c r="M40" s="29">
        <f t="shared" si="35"/>
        <v>121764</v>
      </c>
      <c r="O40" s="12">
        <f t="shared" si="1"/>
        <v>0.19851562554952373</v>
      </c>
      <c r="P40" s="15"/>
    </row>
    <row r="41" spans="2:32" s="67" customFormat="1" x14ac:dyDescent="0.15">
      <c r="B41" s="160"/>
      <c r="C41" s="162" t="s">
        <v>162</v>
      </c>
      <c r="D41" s="163">
        <f t="shared" ref="D41:M41" si="36">D40/D$3</f>
        <v>1.15E-2</v>
      </c>
      <c r="E41" s="163">
        <f t="shared" si="36"/>
        <v>4.0856060606060604E-2</v>
      </c>
      <c r="F41" s="163">
        <f t="shared" si="36"/>
        <v>6.4312499999999995E-2</v>
      </c>
      <c r="G41" s="163">
        <f t="shared" si="36"/>
        <v>6.3125641025641027E-2</v>
      </c>
      <c r="H41" s="163">
        <f t="shared" si="36"/>
        <v>6.3125641025641027E-2</v>
      </c>
      <c r="I41" s="163">
        <f t="shared" si="36"/>
        <v>7.5859756097560974E-2</v>
      </c>
      <c r="J41" s="163">
        <f t="shared" si="36"/>
        <v>8.9426436781609192E-2</v>
      </c>
      <c r="K41" s="163">
        <f t="shared" si="36"/>
        <v>0.1010391304347826</v>
      </c>
      <c r="L41" s="163">
        <f t="shared" si="36"/>
        <v>0.11095463917525773</v>
      </c>
      <c r="M41" s="163">
        <f t="shared" si="36"/>
        <v>0.11937647058823529</v>
      </c>
      <c r="O41" s="12"/>
      <c r="P41" s="161"/>
    </row>
    <row r="42" spans="2:32" s="22" customFormat="1" x14ac:dyDescent="0.15">
      <c r="B42" s="22" t="s">
        <v>26</v>
      </c>
      <c r="D42" s="32">
        <f>IFERROR(SUM(D43:D44),"-")</f>
        <v>1500</v>
      </c>
      <c r="E42" s="32">
        <f t="shared" ref="E42:M42" si="37">IFERROR(SUM(E43:E44),"-")</f>
        <v>1500</v>
      </c>
      <c r="F42" s="32">
        <f>IFERROR(SUM(F43:F44),"-")</f>
        <v>1500</v>
      </c>
      <c r="G42" s="32">
        <f t="shared" si="37"/>
        <v>750</v>
      </c>
      <c r="H42" s="32">
        <f t="shared" si="37"/>
        <v>0</v>
      </c>
      <c r="I42" s="32">
        <f t="shared" si="37"/>
        <v>0</v>
      </c>
      <c r="J42" s="32">
        <f t="shared" si="37"/>
        <v>0</v>
      </c>
      <c r="K42" s="32">
        <f t="shared" si="37"/>
        <v>0</v>
      </c>
      <c r="L42" s="32">
        <f t="shared" si="37"/>
        <v>0</v>
      </c>
      <c r="M42" s="32">
        <f t="shared" si="37"/>
        <v>0</v>
      </c>
      <c r="O42" s="12">
        <f>IFERROR(_xlfn.RRI(M$2-G$2,G42*2,M42), "-")</f>
        <v>-1</v>
      </c>
      <c r="P42" s="15"/>
    </row>
    <row r="43" spans="2:32" s="22" customFormat="1" x14ac:dyDescent="0.15">
      <c r="C43" s="22" t="s">
        <v>163</v>
      </c>
      <c r="D43" s="23">
        <v>1000</v>
      </c>
      <c r="E43" s="23">
        <v>1000</v>
      </c>
      <c r="F43" s="23">
        <v>1000</v>
      </c>
      <c r="G43" s="23">
        <v>500</v>
      </c>
      <c r="H43" s="23"/>
      <c r="I43" s="23"/>
      <c r="J43" s="23"/>
      <c r="K43" s="23"/>
      <c r="L43" s="23"/>
      <c r="M43" s="23"/>
      <c r="O43" s="12">
        <f>IFERROR(_xlfn.RRI(M$2-G$2,G43*2,M43), "-")</f>
        <v>-1</v>
      </c>
      <c r="P43" s="15"/>
    </row>
    <row r="44" spans="2:32" s="22" customFormat="1" x14ac:dyDescent="0.15">
      <c r="C44" s="22" t="s">
        <v>27</v>
      </c>
      <c r="D44" s="23">
        <v>500</v>
      </c>
      <c r="E44" s="23">
        <v>500</v>
      </c>
      <c r="F44" s="23">
        <v>500</v>
      </c>
      <c r="G44" s="23">
        <v>250</v>
      </c>
      <c r="H44" s="23"/>
      <c r="I44" s="23"/>
      <c r="J44" s="23"/>
      <c r="K44" s="23"/>
      <c r="L44" s="23"/>
      <c r="M44" s="23"/>
      <c r="O44" s="12">
        <f>IFERROR(_xlfn.RRI(M$2-G$2,G44*2,M44), "-")</f>
        <v>-1</v>
      </c>
      <c r="P44" s="15"/>
    </row>
    <row r="45" spans="2:32" s="22" customFormat="1" x14ac:dyDescent="0.15">
      <c r="B45" s="22" t="s">
        <v>52</v>
      </c>
      <c r="D45" s="32">
        <f>IFERROR(SUM(D46:D48),"-")</f>
        <v>2500</v>
      </c>
      <c r="E45" s="32">
        <f t="shared" ref="E45" si="38">IFERROR(SUM(E46:E48),"-")</f>
        <v>2500.0111111111109</v>
      </c>
      <c r="F45" s="32">
        <f>IFERROR(SUM(F46:F48),"-")</f>
        <v>2700.0115789473684</v>
      </c>
      <c r="G45" s="32">
        <f t="shared" ref="G45" si="39">IFERROR(SUM(G46:G48),"-")</f>
        <v>1550.0058426966293</v>
      </c>
      <c r="H45" s="32">
        <f t="shared" ref="H45" si="40">IFERROR(SUM(H46:H48),"-")</f>
        <v>0</v>
      </c>
      <c r="I45" s="32">
        <f t="shared" ref="I45" si="41">IFERROR(SUM(I46:I48),"-")</f>
        <v>0</v>
      </c>
      <c r="J45" s="32">
        <f t="shared" ref="J45" si="42">IFERROR(SUM(J46:J48),"-")</f>
        <v>0</v>
      </c>
      <c r="K45" s="32">
        <f t="shared" ref="K45" si="43">IFERROR(SUM(K46:K48),"-")</f>
        <v>0</v>
      </c>
      <c r="L45" s="32">
        <f t="shared" ref="L45" si="44">IFERROR(SUM(L46:L48),"-")</f>
        <v>0</v>
      </c>
      <c r="M45" s="32">
        <f t="shared" ref="M45" si="45">IFERROR(SUM(M46:M48),"-")</f>
        <v>0</v>
      </c>
      <c r="O45" s="12">
        <f>IFERROR(_xlfn.RRI(M$2-G$2,G45*2,M45), "-")</f>
        <v>-1</v>
      </c>
      <c r="P45" s="15"/>
    </row>
    <row r="46" spans="2:32" s="22" customFormat="1" x14ac:dyDescent="0.15">
      <c r="C46" s="22" t="s">
        <v>28</v>
      </c>
      <c r="D46" s="23">
        <v>2000</v>
      </c>
      <c r="E46" s="23">
        <v>2000</v>
      </c>
      <c r="F46" s="23">
        <v>2200</v>
      </c>
      <c r="G46" s="23">
        <v>1300</v>
      </c>
      <c r="H46" s="23"/>
      <c r="I46" s="23"/>
      <c r="J46" s="23"/>
      <c r="K46" s="23"/>
      <c r="L46" s="23"/>
      <c r="M46" s="23"/>
      <c r="O46" s="12">
        <f>IFERROR(_xlfn.RRI(M$2-G$2,G46*2,M46), "-")</f>
        <v>-1</v>
      </c>
      <c r="P46" s="15"/>
    </row>
    <row r="47" spans="2:32" s="67" customFormat="1" x14ac:dyDescent="0.15">
      <c r="B47" s="177"/>
      <c r="C47" s="179" t="s">
        <v>186</v>
      </c>
      <c r="D47" s="178" t="str">
        <f>IFERROR(D46/((C74+C77+D74+D77)/2),"-")</f>
        <v>-</v>
      </c>
      <c r="E47" s="178">
        <f>IFERROR(E46/((D74+D77+E74+E77)/2),"-")</f>
        <v>1.1111111111111112E-2</v>
      </c>
      <c r="F47" s="178">
        <f>IFERROR(F46/((E74+E77+F74+F77)/2),"-")</f>
        <v>1.1578947368421053E-2</v>
      </c>
      <c r="G47" s="178">
        <f>IFERROR(G46/((F74+F77+G74+G77)/2),"-")</f>
        <v>5.8426966292134831E-3</v>
      </c>
      <c r="H47" s="178" t="s">
        <v>187</v>
      </c>
      <c r="I47" s="178" t="str">
        <f>IFERROR(I46/((H74+H77+I74+I77)/2),"-")</f>
        <v>-</v>
      </c>
      <c r="J47" s="178" t="str">
        <f>IFERROR(J46/((I74+I77+J74+J77)/2),"-")</f>
        <v>-</v>
      </c>
      <c r="K47" s="178" t="str">
        <f>IFERROR(K46/((J74+J77+K74+K77)/2),"-")</f>
        <v>-</v>
      </c>
      <c r="L47" s="178" t="str">
        <f>IFERROR(L46/((K74+K77+L74+L77)/2),"-")</f>
        <v>-</v>
      </c>
      <c r="M47" s="178" t="str">
        <f>IFERROR(M46/((L74+L77+M74+M77)/2),"-")</f>
        <v>-</v>
      </c>
      <c r="O47" s="12"/>
      <c r="P47" s="161"/>
    </row>
    <row r="48" spans="2:32" s="22" customFormat="1" x14ac:dyDescent="0.15">
      <c r="C48" s="22" t="s">
        <v>29</v>
      </c>
      <c r="D48" s="23">
        <v>500</v>
      </c>
      <c r="E48" s="23">
        <v>500</v>
      </c>
      <c r="F48" s="23">
        <v>500</v>
      </c>
      <c r="G48" s="23">
        <v>250</v>
      </c>
      <c r="H48" s="23"/>
      <c r="I48" s="23"/>
      <c r="J48" s="23"/>
      <c r="K48" s="23"/>
      <c r="L48" s="23"/>
      <c r="M48" s="23"/>
      <c r="O48" s="12">
        <f t="shared" ref="O48:O54" si="46">IFERROR(_xlfn.RRI(M$2-G$2,G48*2,M48), "-")</f>
        <v>-1</v>
      </c>
      <c r="P48" s="15"/>
    </row>
    <row r="49" spans="2:16" s="22" customFormat="1" x14ac:dyDescent="0.15">
      <c r="B49" s="8" t="s">
        <v>14</v>
      </c>
      <c r="C49" s="8"/>
      <c r="D49" s="29">
        <f>D40+D42-D45</f>
        <v>5900</v>
      </c>
      <c r="E49" s="29">
        <f t="shared" ref="E49:M49" si="47">E40+E42-E45</f>
        <v>25964.988888888889</v>
      </c>
      <c r="F49" s="29">
        <f t="shared" si="47"/>
        <v>45104.988421052629</v>
      </c>
      <c r="G49" s="29">
        <f t="shared" si="47"/>
        <v>23818.994157303372</v>
      </c>
      <c r="H49" s="29">
        <f t="shared" si="47"/>
        <v>24619</v>
      </c>
      <c r="I49" s="29">
        <f t="shared" si="47"/>
        <v>62205</v>
      </c>
      <c r="J49" s="29">
        <f t="shared" si="47"/>
        <v>77801</v>
      </c>
      <c r="K49" s="29">
        <f t="shared" si="47"/>
        <v>92956</v>
      </c>
      <c r="L49" s="29">
        <f t="shared" si="47"/>
        <v>107626</v>
      </c>
      <c r="M49" s="29">
        <f t="shared" si="47"/>
        <v>121764</v>
      </c>
      <c r="N49" s="1"/>
      <c r="O49" s="12">
        <f t="shared" si="46"/>
        <v>0.20646047519783561</v>
      </c>
      <c r="P49" s="15"/>
    </row>
    <row r="50" spans="2:16" s="22" customFormat="1" x14ac:dyDescent="0.15">
      <c r="C50" s="22" t="s">
        <v>164</v>
      </c>
      <c r="D50" s="23">
        <v>500</v>
      </c>
      <c r="E50" s="23">
        <v>500</v>
      </c>
      <c r="F50" s="23">
        <v>500</v>
      </c>
      <c r="G50" s="23">
        <v>250</v>
      </c>
      <c r="H50" s="23"/>
      <c r="I50" s="23"/>
      <c r="J50" s="23"/>
      <c r="K50" s="23"/>
      <c r="L50" s="23"/>
      <c r="M50" s="23"/>
      <c r="O50" s="12">
        <f t="shared" si="46"/>
        <v>-1</v>
      </c>
      <c r="P50" s="15"/>
    </row>
    <row r="51" spans="2:16" x14ac:dyDescent="0.15">
      <c r="B51" s="22"/>
      <c r="C51" s="22" t="s">
        <v>165</v>
      </c>
      <c r="D51" s="23">
        <v>500</v>
      </c>
      <c r="E51" s="23">
        <v>500</v>
      </c>
      <c r="F51" s="23">
        <v>500</v>
      </c>
      <c r="G51" s="23">
        <v>250</v>
      </c>
      <c r="H51" s="23"/>
      <c r="I51" s="23"/>
      <c r="J51" s="23"/>
      <c r="K51" s="23"/>
      <c r="L51" s="23"/>
      <c r="M51" s="23"/>
      <c r="N51" s="22"/>
      <c r="O51" s="12">
        <f t="shared" si="46"/>
        <v>-1</v>
      </c>
      <c r="P51" s="15"/>
    </row>
    <row r="52" spans="2:16" s="22" customFormat="1" x14ac:dyDescent="0.15">
      <c r="B52" s="8" t="s">
        <v>30</v>
      </c>
      <c r="C52" s="8"/>
      <c r="D52" s="29">
        <f>D49+D50-D51</f>
        <v>5900</v>
      </c>
      <c r="E52" s="29">
        <f t="shared" ref="E52:M52" si="48">E49+E50-E51</f>
        <v>25964.988888888889</v>
      </c>
      <c r="F52" s="29">
        <f t="shared" si="48"/>
        <v>45104.988421052629</v>
      </c>
      <c r="G52" s="29">
        <f t="shared" si="48"/>
        <v>23818.994157303372</v>
      </c>
      <c r="H52" s="29">
        <f t="shared" si="48"/>
        <v>24619</v>
      </c>
      <c r="I52" s="29">
        <f t="shared" si="48"/>
        <v>62205</v>
      </c>
      <c r="J52" s="29">
        <f t="shared" si="48"/>
        <v>77801</v>
      </c>
      <c r="K52" s="29">
        <f t="shared" si="48"/>
        <v>92956</v>
      </c>
      <c r="L52" s="29">
        <f t="shared" si="48"/>
        <v>107626</v>
      </c>
      <c r="M52" s="29">
        <f t="shared" si="48"/>
        <v>121764</v>
      </c>
      <c r="N52" s="1"/>
      <c r="O52" s="12">
        <f t="shared" si="46"/>
        <v>0.20646047519783561</v>
      </c>
      <c r="P52" s="15"/>
    </row>
    <row r="53" spans="2:16" x14ac:dyDescent="0.15">
      <c r="B53" s="22"/>
      <c r="C53" s="166">
        <v>0.30620000000000003</v>
      </c>
      <c r="D53" s="24">
        <f>D52*$C$53</f>
        <v>1806.5800000000002</v>
      </c>
      <c r="E53" s="24">
        <f t="shared" ref="E53:M53" si="49">E52*$C$53</f>
        <v>7950.4795977777785</v>
      </c>
      <c r="F53" s="24">
        <f t="shared" si="49"/>
        <v>13811.147454526315</v>
      </c>
      <c r="G53" s="24">
        <f t="shared" si="49"/>
        <v>7293.3760109662935</v>
      </c>
      <c r="H53" s="24">
        <f t="shared" si="49"/>
        <v>7538.3378000000002</v>
      </c>
      <c r="I53" s="24">
        <f t="shared" si="49"/>
        <v>19047.171000000002</v>
      </c>
      <c r="J53" s="24">
        <f t="shared" si="49"/>
        <v>23822.666200000003</v>
      </c>
      <c r="K53" s="24">
        <f t="shared" si="49"/>
        <v>28463.127200000003</v>
      </c>
      <c r="L53" s="24">
        <f t="shared" si="49"/>
        <v>32955.081200000001</v>
      </c>
      <c r="M53" s="24">
        <f t="shared" si="49"/>
        <v>37284.1368</v>
      </c>
      <c r="N53" s="22"/>
      <c r="O53" s="12">
        <f t="shared" si="46"/>
        <v>0.20646047519783561</v>
      </c>
      <c r="P53" s="15"/>
    </row>
    <row r="54" spans="2:16" x14ac:dyDescent="0.15">
      <c r="B54" s="18" t="s">
        <v>31</v>
      </c>
      <c r="C54" s="18"/>
      <c r="D54" s="167">
        <f>D52-D53</f>
        <v>4093.42</v>
      </c>
      <c r="E54" s="167">
        <f t="shared" ref="E54:M54" si="50">E52-E53</f>
        <v>18014.50929111111</v>
      </c>
      <c r="F54" s="167">
        <f t="shared" si="50"/>
        <v>31293.840966526313</v>
      </c>
      <c r="G54" s="167">
        <f t="shared" si="50"/>
        <v>16525.618146337078</v>
      </c>
      <c r="H54" s="167">
        <f t="shared" si="50"/>
        <v>17080.662199999999</v>
      </c>
      <c r="I54" s="167">
        <f t="shared" si="50"/>
        <v>43157.828999999998</v>
      </c>
      <c r="J54" s="167">
        <f t="shared" si="50"/>
        <v>53978.333799999993</v>
      </c>
      <c r="K54" s="167">
        <f t="shared" si="50"/>
        <v>64492.872799999997</v>
      </c>
      <c r="L54" s="167">
        <f t="shared" si="50"/>
        <v>74670.918799999999</v>
      </c>
      <c r="M54" s="167">
        <f t="shared" si="50"/>
        <v>84479.863199999993</v>
      </c>
      <c r="O54" s="12">
        <f t="shared" si="46"/>
        <v>0.20646047519783561</v>
      </c>
      <c r="P54" s="15"/>
    </row>
    <row r="55" spans="2:16" x14ac:dyDescent="0.15">
      <c r="C55" s="1" t="s">
        <v>9</v>
      </c>
      <c r="D55" s="11">
        <f>D17+D29</f>
        <v>15000</v>
      </c>
      <c r="E55" s="11">
        <f t="shared" ref="E55:M55" si="51">E17+E29</f>
        <v>20000</v>
      </c>
      <c r="F55" s="11">
        <f t="shared" si="51"/>
        <v>25000</v>
      </c>
      <c r="G55" s="11">
        <f t="shared" si="51"/>
        <v>12500</v>
      </c>
      <c r="H55" s="11">
        <f t="shared" si="51"/>
        <v>12500</v>
      </c>
      <c r="I55" s="11">
        <f t="shared" si="51"/>
        <v>14000</v>
      </c>
      <c r="J55" s="11">
        <f t="shared" si="51"/>
        <v>13000</v>
      </c>
      <c r="K55" s="11">
        <f t="shared" si="51"/>
        <v>12000</v>
      </c>
      <c r="L55" s="11">
        <f t="shared" si="51"/>
        <v>11000</v>
      </c>
      <c r="M55" s="11">
        <f t="shared" si="51"/>
        <v>10000</v>
      </c>
      <c r="O55" s="12">
        <f>IFERROR(_xlfn.RRI(M$2-G$2,G55*2,M55), "-")</f>
        <v>-0.16744679259812689</v>
      </c>
      <c r="P55" s="15"/>
    </row>
    <row r="56" spans="2:16" x14ac:dyDescent="0.15">
      <c r="C56" s="1" t="s">
        <v>278</v>
      </c>
      <c r="D56" s="11">
        <v>0</v>
      </c>
      <c r="E56" s="11">
        <v>0</v>
      </c>
      <c r="F56" s="11">
        <v>0</v>
      </c>
      <c r="G56" s="11">
        <v>0</v>
      </c>
      <c r="H56" s="11">
        <v>0</v>
      </c>
      <c r="I56" s="11">
        <v>0</v>
      </c>
      <c r="J56" s="11">
        <v>0</v>
      </c>
      <c r="K56" s="11">
        <v>0</v>
      </c>
      <c r="L56" s="11">
        <v>0</v>
      </c>
      <c r="M56" s="11">
        <v>0</v>
      </c>
      <c r="O56" s="12"/>
      <c r="P56" s="15"/>
    </row>
    <row r="57" spans="2:16" x14ac:dyDescent="0.15">
      <c r="B57" s="18" t="s">
        <v>0</v>
      </c>
      <c r="C57" s="18"/>
      <c r="D57" s="19">
        <f>D40+D55+D56</f>
        <v>21900</v>
      </c>
      <c r="E57" s="19">
        <f t="shared" ref="E57:M57" si="52">E40+E55+E56</f>
        <v>46965</v>
      </c>
      <c r="F57" s="19">
        <f t="shared" si="52"/>
        <v>71305</v>
      </c>
      <c r="G57" s="19">
        <f t="shared" si="52"/>
        <v>37119</v>
      </c>
      <c r="H57" s="19">
        <f t="shared" si="52"/>
        <v>37119</v>
      </c>
      <c r="I57" s="19">
        <f t="shared" si="52"/>
        <v>76205</v>
      </c>
      <c r="J57" s="19">
        <f t="shared" si="52"/>
        <v>90801</v>
      </c>
      <c r="K57" s="19">
        <f t="shared" si="52"/>
        <v>104956</v>
      </c>
      <c r="L57" s="19">
        <f t="shared" si="52"/>
        <v>118626</v>
      </c>
      <c r="M57" s="19">
        <f t="shared" si="52"/>
        <v>131764</v>
      </c>
      <c r="O57" s="12">
        <f>IFERROR(_xlfn.RRI(M$2-G$2,G57*2,M57), "-")</f>
        <v>0.12158993002538576</v>
      </c>
      <c r="P57" s="15"/>
    </row>
    <row r="58" spans="2:16" x14ac:dyDescent="0.15">
      <c r="D58" s="5"/>
      <c r="E58" s="175"/>
      <c r="F58" s="175"/>
      <c r="G58" s="175"/>
      <c r="H58" s="5"/>
      <c r="I58" s="5"/>
      <c r="J58" s="5"/>
      <c r="K58" s="5"/>
      <c r="L58" s="5"/>
      <c r="M58" s="5"/>
      <c r="O58" s="13"/>
    </row>
    <row r="59" spans="2:16" x14ac:dyDescent="0.15">
      <c r="B59" s="3" t="s">
        <v>4</v>
      </c>
      <c r="C59" s="3" t="str">
        <f>C2</f>
        <v>XXXX㈱</v>
      </c>
      <c r="D59" s="155">
        <v>21</v>
      </c>
      <c r="E59" s="155">
        <f t="shared" ref="E59" si="53">D59+1</f>
        <v>22</v>
      </c>
      <c r="F59" s="155">
        <f t="shared" ref="F59" si="54">E59+1</f>
        <v>23</v>
      </c>
      <c r="G59" s="156">
        <f>F59+1</f>
        <v>24</v>
      </c>
      <c r="H59" s="158">
        <f>F59+1</f>
        <v>24</v>
      </c>
      <c r="I59" s="157">
        <f t="shared" ref="I59" si="55">H59+1</f>
        <v>25</v>
      </c>
      <c r="J59" s="157">
        <f t="shared" ref="J59" si="56">I59+1</f>
        <v>26</v>
      </c>
      <c r="K59" s="157">
        <f t="shared" ref="K59" si="57">J59+1</f>
        <v>27</v>
      </c>
      <c r="L59" s="157">
        <f t="shared" ref="L59" si="58">K59+1</f>
        <v>28</v>
      </c>
      <c r="M59" s="157">
        <f t="shared" ref="M59" si="59">L59+1</f>
        <v>29</v>
      </c>
      <c r="O59" s="3" t="s">
        <v>13</v>
      </c>
      <c r="P59" s="26"/>
    </row>
    <row r="60" spans="2:16" x14ac:dyDescent="0.15">
      <c r="B60" s="8" t="s">
        <v>15</v>
      </c>
      <c r="C60" s="8"/>
      <c r="D60" s="29">
        <f t="shared" ref="D60:F60" si="60">SUM(D61:D64)</f>
        <v>235000</v>
      </c>
      <c r="E60" s="29">
        <f t="shared" si="60"/>
        <v>250000</v>
      </c>
      <c r="F60" s="29">
        <f t="shared" si="60"/>
        <v>265000</v>
      </c>
      <c r="G60" s="29">
        <f>SUM(G61:G64)</f>
        <v>285000</v>
      </c>
      <c r="H60" s="9"/>
      <c r="I60" s="9"/>
      <c r="J60" s="9"/>
      <c r="K60" s="9"/>
      <c r="L60" s="9"/>
      <c r="M60" s="9"/>
      <c r="O60" s="12"/>
      <c r="P60" s="15"/>
    </row>
    <row r="61" spans="2:16" x14ac:dyDescent="0.15">
      <c r="C61" s="1" t="s">
        <v>16</v>
      </c>
      <c r="D61" s="14">
        <v>30000</v>
      </c>
      <c r="E61" s="14">
        <v>35000</v>
      </c>
      <c r="F61" s="14">
        <v>40000</v>
      </c>
      <c r="G61" s="14">
        <v>45000</v>
      </c>
      <c r="H61" s="14"/>
      <c r="I61" s="14"/>
      <c r="J61" s="14"/>
      <c r="K61" s="14"/>
      <c r="L61" s="14"/>
      <c r="M61" s="14"/>
      <c r="O61" s="15"/>
      <c r="P61" s="15"/>
    </row>
    <row r="62" spans="2:16" x14ac:dyDescent="0.15">
      <c r="C62" s="1" t="s">
        <v>17</v>
      </c>
      <c r="D62" s="14">
        <v>65000</v>
      </c>
      <c r="E62" s="14">
        <v>70000</v>
      </c>
      <c r="F62" s="14">
        <v>75000</v>
      </c>
      <c r="G62" s="14">
        <v>80000</v>
      </c>
      <c r="H62" s="168"/>
      <c r="I62" s="14"/>
      <c r="J62" s="14"/>
      <c r="K62" s="14"/>
      <c r="L62" s="14"/>
      <c r="M62" s="14"/>
      <c r="O62" s="15"/>
      <c r="P62" s="15"/>
    </row>
    <row r="63" spans="2:16" x14ac:dyDescent="0.15">
      <c r="C63" s="1" t="s">
        <v>166</v>
      </c>
      <c r="D63" s="14">
        <v>130000</v>
      </c>
      <c r="E63" s="14">
        <v>135000</v>
      </c>
      <c r="F63" s="14">
        <v>140000</v>
      </c>
      <c r="G63" s="14">
        <v>150000</v>
      </c>
      <c r="H63" s="14"/>
      <c r="I63" s="14"/>
      <c r="J63" s="14"/>
      <c r="K63" s="14"/>
      <c r="L63" s="14"/>
      <c r="M63" s="14"/>
      <c r="O63" s="15"/>
      <c r="P63" s="15"/>
    </row>
    <row r="64" spans="2:16" x14ac:dyDescent="0.15">
      <c r="C64" s="1" t="s">
        <v>3</v>
      </c>
      <c r="D64" s="6">
        <v>10000</v>
      </c>
      <c r="E64" s="6">
        <v>10000</v>
      </c>
      <c r="F64" s="6">
        <v>10000</v>
      </c>
      <c r="G64" s="6">
        <v>10000</v>
      </c>
      <c r="H64" s="6"/>
      <c r="I64" s="6"/>
      <c r="J64" s="6"/>
      <c r="K64" s="6"/>
      <c r="L64" s="6"/>
      <c r="M64" s="6"/>
      <c r="O64" s="12"/>
      <c r="P64" s="15"/>
    </row>
    <row r="65" spans="2:16" s="22" customFormat="1" x14ac:dyDescent="0.15">
      <c r="B65" s="8" t="s">
        <v>18</v>
      </c>
      <c r="C65" s="8"/>
      <c r="D65" s="29">
        <f>SUM(D66,D69,D70)</f>
        <v>395000</v>
      </c>
      <c r="E65" s="29">
        <f t="shared" ref="E65:F65" si="61">SUM(E66,E69,E70)</f>
        <v>415000</v>
      </c>
      <c r="F65" s="29">
        <f t="shared" si="61"/>
        <v>455000</v>
      </c>
      <c r="G65" s="29">
        <f>SUM(G66,G69,G70)</f>
        <v>515000</v>
      </c>
      <c r="H65" s="9"/>
      <c r="I65" s="9"/>
      <c r="J65" s="9"/>
      <c r="K65" s="9"/>
      <c r="L65" s="9"/>
      <c r="M65" s="9"/>
      <c r="N65" s="1"/>
      <c r="O65" s="12"/>
      <c r="P65" s="15"/>
    </row>
    <row r="66" spans="2:16" x14ac:dyDescent="0.15">
      <c r="B66" s="8" t="s">
        <v>48</v>
      </c>
      <c r="C66" s="8"/>
      <c r="D66" s="29">
        <f t="shared" ref="D66:F66" si="62">SUM(D67:D68)</f>
        <v>340000</v>
      </c>
      <c r="E66" s="29">
        <f t="shared" si="62"/>
        <v>360000</v>
      </c>
      <c r="F66" s="29">
        <f t="shared" si="62"/>
        <v>400000</v>
      </c>
      <c r="G66" s="29">
        <f>SUM(G67:G68)</f>
        <v>460000</v>
      </c>
      <c r="H66" s="23"/>
      <c r="I66" s="23"/>
      <c r="J66" s="23"/>
      <c r="K66" s="23"/>
      <c r="L66" s="23"/>
      <c r="M66" s="23"/>
      <c r="N66" s="22"/>
      <c r="O66" s="25"/>
      <c r="P66" s="15"/>
    </row>
    <row r="67" spans="2:16" x14ac:dyDescent="0.15">
      <c r="C67" s="1" t="s">
        <v>167</v>
      </c>
      <c r="D67" s="6">
        <v>330000</v>
      </c>
      <c r="E67" s="6">
        <v>350000</v>
      </c>
      <c r="F67" s="6">
        <v>390000</v>
      </c>
      <c r="G67" s="6">
        <v>450000</v>
      </c>
      <c r="H67" s="6"/>
      <c r="I67" s="6"/>
      <c r="J67" s="6"/>
      <c r="K67" s="6"/>
      <c r="L67" s="6"/>
      <c r="M67" s="6"/>
      <c r="O67" s="12"/>
      <c r="P67" s="15"/>
    </row>
    <row r="68" spans="2:16" x14ac:dyDescent="0.15">
      <c r="C68" s="1" t="s">
        <v>168</v>
      </c>
      <c r="D68" s="6">
        <v>10000</v>
      </c>
      <c r="E68" s="6">
        <v>10000</v>
      </c>
      <c r="F68" s="6">
        <v>10000</v>
      </c>
      <c r="G68" s="6">
        <v>10000</v>
      </c>
      <c r="H68" s="6"/>
      <c r="I68" s="6"/>
      <c r="J68" s="6"/>
      <c r="K68" s="6"/>
      <c r="L68" s="6"/>
      <c r="M68" s="6"/>
      <c r="O68" s="12"/>
      <c r="P68" s="15"/>
    </row>
    <row r="69" spans="2:16" x14ac:dyDescent="0.15">
      <c r="B69" s="8" t="s">
        <v>49</v>
      </c>
      <c r="C69" s="8"/>
      <c r="D69" s="9">
        <v>50000</v>
      </c>
      <c r="E69" s="9">
        <v>50000</v>
      </c>
      <c r="F69" s="9">
        <v>50000</v>
      </c>
      <c r="G69" s="9">
        <v>50000</v>
      </c>
      <c r="H69" s="6"/>
      <c r="I69" s="6"/>
      <c r="J69" s="6"/>
      <c r="K69" s="6"/>
      <c r="L69" s="6"/>
      <c r="M69" s="6"/>
      <c r="O69" s="12"/>
      <c r="P69" s="15"/>
    </row>
    <row r="70" spans="2:16" x14ac:dyDescent="0.15">
      <c r="B70" s="8" t="s">
        <v>50</v>
      </c>
      <c r="C70" s="8"/>
      <c r="D70" s="9">
        <v>5000</v>
      </c>
      <c r="E70" s="9">
        <v>5000</v>
      </c>
      <c r="F70" s="9">
        <v>5000</v>
      </c>
      <c r="G70" s="9">
        <v>5000</v>
      </c>
      <c r="H70" s="6"/>
      <c r="I70" s="6"/>
      <c r="J70" s="6"/>
      <c r="K70" s="6"/>
      <c r="L70" s="6"/>
      <c r="M70" s="6"/>
      <c r="O70" s="12"/>
      <c r="P70" s="15"/>
    </row>
    <row r="71" spans="2:16" x14ac:dyDescent="0.15">
      <c r="B71" s="18" t="s">
        <v>19</v>
      </c>
      <c r="C71" s="18"/>
      <c r="D71" s="169">
        <f>SUM(D60,D65)</f>
        <v>630000</v>
      </c>
      <c r="E71" s="169">
        <f t="shared" ref="E71:G71" si="63">SUM(E60,E65)</f>
        <v>665000</v>
      </c>
      <c r="F71" s="169">
        <f t="shared" si="63"/>
        <v>720000</v>
      </c>
      <c r="G71" s="169">
        <f t="shared" si="63"/>
        <v>800000</v>
      </c>
      <c r="H71" s="10"/>
      <c r="I71" s="10"/>
      <c r="J71" s="10"/>
      <c r="K71" s="10"/>
      <c r="L71" s="10"/>
      <c r="M71" s="10"/>
      <c r="O71" s="12"/>
      <c r="P71" s="15"/>
    </row>
    <row r="72" spans="2:16" x14ac:dyDescent="0.15">
      <c r="B72" s="8" t="s">
        <v>20</v>
      </c>
      <c r="C72" s="8"/>
      <c r="D72" s="28">
        <f>SUM(D73:D75)</f>
        <v>140000</v>
      </c>
      <c r="E72" s="28">
        <f t="shared" ref="E72:F72" si="64">SUM(E73:E75)</f>
        <v>145000</v>
      </c>
      <c r="F72" s="28">
        <f t="shared" si="64"/>
        <v>150000</v>
      </c>
      <c r="G72" s="28">
        <f>SUM(G73:G75)</f>
        <v>155000</v>
      </c>
      <c r="H72" s="10"/>
      <c r="I72" s="10"/>
      <c r="J72" s="10"/>
      <c r="K72" s="10"/>
      <c r="L72" s="10"/>
      <c r="M72" s="10"/>
      <c r="O72" s="12"/>
      <c r="P72" s="15"/>
    </row>
    <row r="73" spans="2:16" x14ac:dyDescent="0.15">
      <c r="C73" s="1" t="s">
        <v>169</v>
      </c>
      <c r="D73" s="6">
        <v>60000</v>
      </c>
      <c r="E73" s="6">
        <v>65000</v>
      </c>
      <c r="F73" s="6">
        <v>70000</v>
      </c>
      <c r="G73" s="6">
        <v>75000</v>
      </c>
      <c r="H73" s="6"/>
      <c r="I73" s="6"/>
      <c r="J73" s="6"/>
      <c r="K73" s="6"/>
      <c r="L73" s="6"/>
      <c r="M73" s="6"/>
      <c r="O73" s="12"/>
      <c r="P73" s="15"/>
    </row>
    <row r="74" spans="2:16" x14ac:dyDescent="0.15">
      <c r="C74" s="1" t="s">
        <v>21</v>
      </c>
      <c r="D74" s="6">
        <v>50000</v>
      </c>
      <c r="E74" s="6">
        <v>50000</v>
      </c>
      <c r="F74" s="6">
        <v>50000</v>
      </c>
      <c r="G74" s="6">
        <v>50000</v>
      </c>
      <c r="H74" s="6"/>
      <c r="I74" s="6"/>
      <c r="J74" s="6"/>
      <c r="K74" s="6"/>
      <c r="L74" s="6"/>
      <c r="M74" s="6"/>
      <c r="O74" s="12"/>
      <c r="P74" s="15"/>
    </row>
    <row r="75" spans="2:16" x14ac:dyDescent="0.15">
      <c r="C75" s="1" t="s">
        <v>3</v>
      </c>
      <c r="D75" s="6">
        <v>30000</v>
      </c>
      <c r="E75" s="6">
        <v>30000</v>
      </c>
      <c r="F75" s="6">
        <v>30000</v>
      </c>
      <c r="G75" s="6">
        <v>30000</v>
      </c>
      <c r="H75" s="6"/>
      <c r="I75" s="6"/>
      <c r="J75" s="6"/>
      <c r="K75" s="6"/>
      <c r="L75" s="6"/>
      <c r="M75" s="6"/>
      <c r="O75" s="12"/>
      <c r="P75" s="15"/>
    </row>
    <row r="76" spans="2:16" x14ac:dyDescent="0.15">
      <c r="B76" s="8" t="s">
        <v>170</v>
      </c>
      <c r="C76" s="8"/>
      <c r="D76" s="28">
        <f>SUM(D77:D78)</f>
        <v>160000</v>
      </c>
      <c r="E76" s="28">
        <f t="shared" ref="E76:G76" si="65">SUM(E77:E78)</f>
        <v>160000</v>
      </c>
      <c r="F76" s="28">
        <f t="shared" si="65"/>
        <v>180000</v>
      </c>
      <c r="G76" s="28">
        <f t="shared" si="65"/>
        <v>225000</v>
      </c>
      <c r="H76" s="9"/>
      <c r="I76" s="9"/>
      <c r="J76" s="9"/>
      <c r="K76" s="9"/>
      <c r="L76" s="9"/>
      <c r="M76" s="9"/>
      <c r="O76" s="12"/>
      <c r="P76" s="15"/>
    </row>
    <row r="77" spans="2:16" x14ac:dyDescent="0.15">
      <c r="C77" s="1" t="s">
        <v>171</v>
      </c>
      <c r="D77" s="6">
        <v>130000</v>
      </c>
      <c r="E77" s="6">
        <v>130000</v>
      </c>
      <c r="F77" s="6">
        <v>150000</v>
      </c>
      <c r="G77" s="6">
        <v>195000</v>
      </c>
      <c r="H77" s="6"/>
      <c r="I77" s="6"/>
      <c r="J77" s="6"/>
      <c r="K77" s="6"/>
      <c r="L77" s="6"/>
      <c r="M77" s="6"/>
      <c r="O77" s="12"/>
      <c r="P77" s="15"/>
    </row>
    <row r="78" spans="2:16" x14ac:dyDescent="0.15">
      <c r="C78" s="1" t="s">
        <v>3</v>
      </c>
      <c r="D78" s="6">
        <v>30000</v>
      </c>
      <c r="E78" s="6">
        <v>30000</v>
      </c>
      <c r="F78" s="6">
        <v>30000</v>
      </c>
      <c r="G78" s="6">
        <v>30000</v>
      </c>
      <c r="H78" s="6"/>
      <c r="I78" s="6"/>
      <c r="J78" s="6"/>
      <c r="K78" s="6"/>
      <c r="L78" s="6"/>
      <c r="M78" s="6"/>
      <c r="O78" s="12"/>
      <c r="P78" s="15"/>
    </row>
    <row r="79" spans="2:16" x14ac:dyDescent="0.15">
      <c r="B79" s="8" t="s">
        <v>22</v>
      </c>
      <c r="C79" s="8"/>
      <c r="D79" s="29">
        <f>SUM(D72,D76)</f>
        <v>300000</v>
      </c>
      <c r="E79" s="29">
        <f t="shared" ref="E79:G79" si="66">SUM(E72,E76)</f>
        <v>305000</v>
      </c>
      <c r="F79" s="29">
        <f t="shared" si="66"/>
        <v>330000</v>
      </c>
      <c r="G79" s="29">
        <f t="shared" si="66"/>
        <v>380000</v>
      </c>
      <c r="H79" s="9"/>
      <c r="I79" s="9"/>
      <c r="J79" s="9"/>
      <c r="K79" s="9"/>
      <c r="L79" s="9"/>
      <c r="M79" s="9"/>
      <c r="O79" s="12"/>
      <c r="P79" s="15"/>
    </row>
    <row r="80" spans="2:16" x14ac:dyDescent="0.15">
      <c r="C80" s="1" t="s">
        <v>23</v>
      </c>
      <c r="D80" s="21">
        <v>50000</v>
      </c>
      <c r="E80" s="21">
        <v>50000</v>
      </c>
      <c r="F80" s="21">
        <v>50000</v>
      </c>
      <c r="G80" s="21">
        <v>50000</v>
      </c>
      <c r="H80" s="6"/>
      <c r="I80" s="6"/>
      <c r="J80" s="6"/>
      <c r="K80" s="6"/>
      <c r="L80" s="6"/>
      <c r="M80" s="6"/>
      <c r="O80" s="12"/>
      <c r="P80" s="15"/>
    </row>
    <row r="81" spans="2:16" x14ac:dyDescent="0.15">
      <c r="C81" s="1" t="s">
        <v>51</v>
      </c>
      <c r="D81" s="6">
        <v>280000</v>
      </c>
      <c r="E81" s="6">
        <v>310000</v>
      </c>
      <c r="F81" s="6">
        <v>340000</v>
      </c>
      <c r="G81" s="6">
        <v>370000</v>
      </c>
      <c r="H81" s="6"/>
      <c r="I81" s="6"/>
      <c r="J81" s="6"/>
      <c r="K81" s="6"/>
      <c r="L81" s="6"/>
      <c r="M81" s="6"/>
      <c r="O81" s="12"/>
      <c r="P81" s="15"/>
    </row>
    <row r="82" spans="2:16" x14ac:dyDescent="0.15">
      <c r="B82" s="1" t="s">
        <v>24</v>
      </c>
      <c r="D82" s="6">
        <f>D80+D81</f>
        <v>330000</v>
      </c>
      <c r="E82" s="6">
        <f t="shared" ref="E82:G82" si="67">E80+E81</f>
        <v>360000</v>
      </c>
      <c r="F82" s="6">
        <f t="shared" si="67"/>
        <v>390000</v>
      </c>
      <c r="G82" s="6">
        <f t="shared" si="67"/>
        <v>420000</v>
      </c>
      <c r="H82" s="6"/>
      <c r="I82" s="6"/>
      <c r="J82" s="6"/>
      <c r="K82" s="6"/>
      <c r="L82" s="6"/>
      <c r="M82" s="6"/>
      <c r="O82" s="12"/>
      <c r="P82" s="15"/>
    </row>
    <row r="83" spans="2:16" x14ac:dyDescent="0.15">
      <c r="B83" s="18" t="s">
        <v>25</v>
      </c>
      <c r="C83" s="18"/>
      <c r="D83" s="167">
        <f>D79+D82</f>
        <v>630000</v>
      </c>
      <c r="E83" s="167">
        <f t="shared" ref="E83:G83" si="68">E79+E82</f>
        <v>665000</v>
      </c>
      <c r="F83" s="167">
        <f t="shared" si="68"/>
        <v>720000</v>
      </c>
      <c r="G83" s="167">
        <f t="shared" si="68"/>
        <v>800000</v>
      </c>
      <c r="H83" s="9"/>
      <c r="I83" s="9"/>
      <c r="J83" s="9"/>
      <c r="K83" s="9"/>
      <c r="L83" s="9"/>
      <c r="M83" s="9"/>
      <c r="O83" s="12"/>
      <c r="P83" s="15"/>
    </row>
    <row r="84" spans="2:16" x14ac:dyDescent="0.15">
      <c r="D84" s="5" t="str">
        <f>IF(D83=D71,"ok",D71-D83)</f>
        <v>ok</v>
      </c>
      <c r="E84" s="5" t="str">
        <f t="shared" ref="E84:G84" si="69">IF(E83=E71,"ok",E71-E83)</f>
        <v>ok</v>
      </c>
      <c r="F84" s="5" t="str">
        <f t="shared" si="69"/>
        <v>ok</v>
      </c>
      <c r="G84" s="5" t="str">
        <f t="shared" si="69"/>
        <v>ok</v>
      </c>
      <c r="H84" s="5"/>
      <c r="I84" s="5"/>
      <c r="J84" s="5"/>
      <c r="K84" s="5"/>
      <c r="L84" s="5"/>
      <c r="M84" s="5"/>
      <c r="O84" s="13"/>
    </row>
  </sheetData>
  <phoneticPr fontId="2"/>
  <pageMargins left="0.7" right="0.7" top="0.75" bottom="0.75" header="0.3" footer="0.3"/>
  <ignoredErrors>
    <ignoredError sqref="D66:G66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5A44F8-5274-4EEB-BA2C-20F9540BB6E9}">
  <dimension ref="B1:Z37"/>
  <sheetViews>
    <sheetView showGridLines="0" zoomScale="85" zoomScaleNormal="85" workbookViewId="0">
      <selection activeCell="B1" sqref="B1"/>
    </sheetView>
  </sheetViews>
  <sheetFormatPr defaultRowHeight="15.75" x14ac:dyDescent="0.25"/>
  <cols>
    <col min="1" max="1" width="5.140625" style="95" customWidth="1"/>
    <col min="2" max="2" width="28.28515625" style="95" customWidth="1"/>
    <col min="3" max="3" width="12.140625" style="95" customWidth="1"/>
    <col min="4" max="6" width="9.140625" style="95"/>
    <col min="7" max="7" width="10.42578125" style="95" customWidth="1"/>
    <col min="8" max="8" width="14" style="95" customWidth="1"/>
    <col min="9" max="9" width="10.28515625" style="95" customWidth="1"/>
    <col min="10" max="10" width="9.140625" style="95"/>
    <col min="11" max="12" width="18.7109375" style="95" customWidth="1"/>
    <col min="13" max="13" width="7.140625" style="95" customWidth="1"/>
    <col min="14" max="14" width="36.28515625" style="95" bestFit="1" customWidth="1"/>
    <col min="15" max="15" width="10.140625" style="97" customWidth="1"/>
    <col min="16" max="16" width="24.28515625" style="95" bestFit="1" customWidth="1"/>
    <col min="17" max="17" width="20.42578125" style="95" customWidth="1"/>
    <col min="18" max="18" width="12.5703125" style="96" customWidth="1"/>
    <col min="19" max="19" width="13.28515625" style="96" bestFit="1" customWidth="1"/>
    <col min="20" max="20" width="12.7109375" style="96" customWidth="1"/>
    <col min="21" max="21" width="12.42578125" style="96" customWidth="1"/>
    <col min="22" max="22" width="19.140625" style="96" customWidth="1"/>
    <col min="23" max="26" width="17.85546875" style="95" customWidth="1"/>
    <col min="27" max="16384" width="9.140625" style="95"/>
  </cols>
  <sheetData>
    <row r="1" spans="2:26" x14ac:dyDescent="0.25">
      <c r="B1" s="1" t="s">
        <v>303</v>
      </c>
    </row>
    <row r="2" spans="2:26" s="90" customFormat="1" ht="17.25" thickBot="1" x14ac:dyDescent="0.3">
      <c r="B2" s="87" t="s">
        <v>109</v>
      </c>
      <c r="C2" s="88" t="s">
        <v>110</v>
      </c>
      <c r="D2" s="87"/>
      <c r="E2" s="87"/>
      <c r="F2" s="89"/>
      <c r="H2" s="91"/>
      <c r="I2" s="91"/>
      <c r="J2" s="91"/>
      <c r="K2" s="91"/>
      <c r="L2" s="91"/>
      <c r="O2" s="92"/>
    </row>
    <row r="3" spans="2:26" ht="17.25" thickBot="1" x14ac:dyDescent="0.3">
      <c r="B3" s="93" t="s">
        <v>111</v>
      </c>
      <c r="C3" s="181">
        <v>0.01</v>
      </c>
      <c r="D3" s="170" t="s">
        <v>173</v>
      </c>
      <c r="E3" s="94"/>
      <c r="H3" s="96"/>
      <c r="I3" s="96"/>
      <c r="R3" s="95"/>
      <c r="S3" s="95"/>
      <c r="T3" s="95"/>
      <c r="U3" s="95"/>
      <c r="V3" s="95"/>
    </row>
    <row r="4" spans="2:26" ht="17.25" thickBot="1" x14ac:dyDescent="0.3">
      <c r="B4" s="94" t="str">
        <f>U14</f>
        <v>βU</v>
      </c>
      <c r="C4" s="176">
        <f>U23</f>
        <v>0.83321760866546313</v>
      </c>
      <c r="D4" s="170" t="s">
        <v>172</v>
      </c>
      <c r="E4" s="94"/>
      <c r="H4" s="96"/>
      <c r="I4" s="96"/>
      <c r="R4" s="95"/>
      <c r="S4" s="95"/>
      <c r="T4" s="95"/>
      <c r="U4" s="95"/>
      <c r="V4" s="95"/>
    </row>
    <row r="5" spans="2:26" ht="17.25" thickBot="1" x14ac:dyDescent="0.3">
      <c r="B5" s="94" t="s">
        <v>113</v>
      </c>
      <c r="C5" s="182">
        <v>5.6300000000000003E-2</v>
      </c>
      <c r="D5" s="170" t="s">
        <v>174</v>
      </c>
      <c r="E5" s="94"/>
      <c r="H5" s="96"/>
      <c r="I5" s="96"/>
      <c r="R5" s="95"/>
      <c r="S5" s="95"/>
      <c r="T5" s="95"/>
      <c r="U5" s="95"/>
      <c r="V5" s="95"/>
    </row>
    <row r="6" spans="2:26" ht="16.5" x14ac:dyDescent="0.25">
      <c r="B6" s="94" t="s">
        <v>185</v>
      </c>
      <c r="C6" s="239">
        <f>AVERAGE(財務数値!E47:G47)</f>
        <v>9.5109183695818809E-3</v>
      </c>
      <c r="D6" s="94" t="s">
        <v>184</v>
      </c>
      <c r="E6" s="94"/>
      <c r="H6" s="96"/>
      <c r="I6" s="96"/>
      <c r="R6" s="95"/>
      <c r="S6" s="95"/>
      <c r="T6" s="95"/>
      <c r="U6" s="95"/>
      <c r="V6" s="95"/>
    </row>
    <row r="7" spans="2:26" ht="16.5" x14ac:dyDescent="0.25">
      <c r="B7" s="94" t="s">
        <v>114</v>
      </c>
      <c r="C7" s="240">
        <f>R23</f>
        <v>0.375</v>
      </c>
      <c r="D7" s="98" t="s">
        <v>204</v>
      </c>
      <c r="E7" s="94"/>
      <c r="H7" s="96"/>
      <c r="I7" s="96"/>
      <c r="R7" s="95"/>
      <c r="S7" s="95"/>
      <c r="T7" s="95"/>
      <c r="U7" s="95"/>
      <c r="V7" s="95"/>
    </row>
    <row r="8" spans="2:26" ht="17.25" thickBot="1" x14ac:dyDescent="0.3">
      <c r="B8" s="94" t="s">
        <v>115</v>
      </c>
      <c r="C8" s="241">
        <f>DCF!C36</f>
        <v>0.30620000000000003</v>
      </c>
      <c r="D8" s="94" t="s">
        <v>79</v>
      </c>
      <c r="E8" s="94"/>
      <c r="H8" s="96"/>
      <c r="I8" s="96"/>
      <c r="R8" s="95"/>
      <c r="S8" s="95"/>
      <c r="T8" s="95"/>
      <c r="U8" s="95"/>
      <c r="V8" s="95"/>
    </row>
    <row r="9" spans="2:26" ht="17.25" thickBot="1" x14ac:dyDescent="0.3">
      <c r="B9" s="94" t="s">
        <v>116</v>
      </c>
      <c r="C9" s="183">
        <v>0.03</v>
      </c>
      <c r="D9" s="94" t="s">
        <v>117</v>
      </c>
      <c r="E9" s="94"/>
      <c r="H9" s="96"/>
      <c r="I9" s="96"/>
      <c r="R9" s="95"/>
      <c r="S9" s="95"/>
      <c r="T9" s="95"/>
      <c r="U9" s="95"/>
      <c r="V9" s="95"/>
    </row>
    <row r="11" spans="2:26" s="102" customFormat="1" ht="34.5" customHeight="1" x14ac:dyDescent="0.15">
      <c r="B11" s="99" t="s">
        <v>118</v>
      </c>
      <c r="C11" s="100"/>
      <c r="D11" s="100"/>
      <c r="E11" s="100"/>
      <c r="F11" s="100"/>
      <c r="G11" s="100"/>
      <c r="H11" s="100"/>
      <c r="I11" s="100"/>
      <c r="J11" s="101"/>
      <c r="K11" s="101"/>
      <c r="L11" s="101"/>
      <c r="N11" s="99" t="s">
        <v>119</v>
      </c>
      <c r="O11" s="103"/>
      <c r="P11" s="100"/>
      <c r="Q11" s="100"/>
      <c r="R11" s="103"/>
      <c r="S11" s="103"/>
      <c r="T11" s="103"/>
      <c r="U11" s="103"/>
      <c r="V11" s="103"/>
      <c r="W11" s="104"/>
      <c r="X11" s="105"/>
      <c r="Y11" s="105"/>
      <c r="Z11" s="105"/>
    </row>
    <row r="12" spans="2:26" s="107" customFormat="1" ht="72.75" customHeight="1" x14ac:dyDescent="0.15">
      <c r="B12" s="350" t="s">
        <v>120</v>
      </c>
      <c r="C12" s="350"/>
      <c r="D12" s="350"/>
      <c r="E12" s="350"/>
      <c r="F12" s="350"/>
      <c r="G12" s="350"/>
      <c r="H12" s="350"/>
      <c r="I12" s="350"/>
      <c r="J12" s="350"/>
      <c r="K12" s="350"/>
      <c r="L12" s="350"/>
      <c r="N12" s="351" t="s">
        <v>259</v>
      </c>
      <c r="O12" s="352"/>
      <c r="P12" s="352"/>
      <c r="Q12" s="352"/>
      <c r="R12" s="352"/>
      <c r="S12" s="352"/>
      <c r="T12" s="352"/>
      <c r="U12" s="352"/>
      <c r="V12" s="352"/>
      <c r="W12" s="108"/>
      <c r="X12" s="108"/>
      <c r="Y12" s="108"/>
      <c r="Z12" s="108"/>
    </row>
    <row r="13" spans="2:26" s="107" customFormat="1" ht="27.75" customHeight="1" x14ac:dyDescent="0.3">
      <c r="B13" s="109" t="s">
        <v>121</v>
      </c>
      <c r="C13" s="106"/>
      <c r="D13" s="106"/>
      <c r="E13" s="106"/>
      <c r="F13" s="106"/>
      <c r="G13" s="106"/>
      <c r="H13" s="106"/>
      <c r="I13" s="106"/>
      <c r="J13" s="106"/>
      <c r="K13" s="106"/>
      <c r="O13" s="96"/>
      <c r="V13" s="110" t="s">
        <v>122</v>
      </c>
      <c r="W13" s="111"/>
      <c r="X13" s="108"/>
      <c r="Y13" s="108"/>
      <c r="Z13" s="108"/>
    </row>
    <row r="14" spans="2:26" s="107" customFormat="1" ht="27.75" customHeight="1" x14ac:dyDescent="0.15">
      <c r="B14" s="112" t="s">
        <v>123</v>
      </c>
      <c r="C14" s="113"/>
      <c r="D14" s="113"/>
      <c r="E14" s="113"/>
      <c r="F14" s="113"/>
      <c r="G14" s="113"/>
      <c r="H14" s="113"/>
      <c r="I14" s="113"/>
      <c r="J14" s="113"/>
      <c r="K14" s="113"/>
      <c r="L14" s="114"/>
      <c r="N14" s="115" t="s">
        <v>124</v>
      </c>
      <c r="O14" s="116" t="s">
        <v>125</v>
      </c>
      <c r="P14" s="116" t="s">
        <v>126</v>
      </c>
      <c r="Q14" s="116" t="s">
        <v>127</v>
      </c>
      <c r="R14" s="116" t="s">
        <v>128</v>
      </c>
      <c r="S14" s="116" t="s">
        <v>112</v>
      </c>
      <c r="T14" s="116" t="s">
        <v>129</v>
      </c>
      <c r="U14" s="116" t="s">
        <v>130</v>
      </c>
      <c r="V14" s="116" t="s">
        <v>131</v>
      </c>
      <c r="X14" s="174"/>
      <c r="Y14" s="108"/>
    </row>
    <row r="15" spans="2:26" s="107" customFormat="1" ht="27.75" customHeight="1" thickBot="1" x14ac:dyDescent="0.2">
      <c r="N15" s="184" t="s">
        <v>177</v>
      </c>
      <c r="O15" s="185">
        <v>1111</v>
      </c>
      <c r="P15" s="186">
        <v>5000</v>
      </c>
      <c r="Q15" s="187">
        <v>50000</v>
      </c>
      <c r="R15" s="117">
        <f>P15/Q15</f>
        <v>0.1</v>
      </c>
      <c r="S15" s="199">
        <v>0.30620000000000003</v>
      </c>
      <c r="T15" s="205">
        <v>1</v>
      </c>
      <c r="U15" s="119">
        <f>IFERROR(T15/(1+(1-S15)*R15),"-")</f>
        <v>0.93512128523069438</v>
      </c>
      <c r="V15" s="202">
        <v>0.25</v>
      </c>
      <c r="X15" s="120"/>
      <c r="Y15" s="118"/>
    </row>
    <row r="16" spans="2:26" s="107" customFormat="1" ht="27.75" customHeight="1" thickBot="1" x14ac:dyDescent="0.2">
      <c r="B16" s="121" t="s">
        <v>132</v>
      </c>
      <c r="C16" s="122"/>
      <c r="D16" s="122"/>
      <c r="E16" s="122"/>
      <c r="F16" s="122"/>
      <c r="G16" s="123" t="s">
        <v>133</v>
      </c>
      <c r="H16" s="124">
        <f>H19+H20*H21+H22</f>
        <v>9.7904718094709062E-2</v>
      </c>
      <c r="I16" s="108"/>
      <c r="J16" s="108"/>
      <c r="K16" s="108"/>
      <c r="L16" s="108"/>
      <c r="N16" s="188" t="s">
        <v>178</v>
      </c>
      <c r="O16" s="185">
        <v>2222</v>
      </c>
      <c r="P16" s="186">
        <v>10000</v>
      </c>
      <c r="Q16" s="187">
        <v>40000</v>
      </c>
      <c r="R16" s="117">
        <f t="shared" ref="R16:R21" si="0">P16/Q16</f>
        <v>0.25</v>
      </c>
      <c r="S16" s="199">
        <v>0.30620000000000003</v>
      </c>
      <c r="T16" s="206">
        <v>1.1000000000000001</v>
      </c>
      <c r="U16" s="119">
        <f t="shared" ref="U16:U21" si="1">IFERROR(T16/(1+(1-S16)*R16),"-")</f>
        <v>0.93740679193830179</v>
      </c>
      <c r="V16" s="203">
        <v>0.3</v>
      </c>
      <c r="X16" s="120"/>
      <c r="Y16" s="118"/>
    </row>
    <row r="17" spans="2:26" s="102" customFormat="1" ht="27.75" customHeight="1" x14ac:dyDescent="0.15">
      <c r="N17" s="188" t="s">
        <v>179</v>
      </c>
      <c r="O17" s="189">
        <v>3333</v>
      </c>
      <c r="P17" s="186">
        <v>15000</v>
      </c>
      <c r="Q17" s="190">
        <v>30000</v>
      </c>
      <c r="R17" s="117">
        <f t="shared" si="0"/>
        <v>0.5</v>
      </c>
      <c r="S17" s="199">
        <v>0.30620000000000003</v>
      </c>
      <c r="T17" s="206">
        <v>0.9</v>
      </c>
      <c r="U17" s="119">
        <f t="shared" si="1"/>
        <v>0.66820105427277454</v>
      </c>
      <c r="V17" s="203">
        <v>7.0000000000000007E-2</v>
      </c>
      <c r="X17" s="120"/>
      <c r="Y17" s="118"/>
      <c r="Z17" s="107"/>
    </row>
    <row r="18" spans="2:26" s="102" customFormat="1" ht="27.75" customHeight="1" x14ac:dyDescent="0.15">
      <c r="B18" s="125" t="s">
        <v>134</v>
      </c>
      <c r="C18" s="126" t="s">
        <v>135</v>
      </c>
      <c r="N18" s="188" t="s">
        <v>180</v>
      </c>
      <c r="O18" s="191">
        <v>4444</v>
      </c>
      <c r="P18" s="192">
        <v>20000</v>
      </c>
      <c r="Q18" s="193">
        <v>20000</v>
      </c>
      <c r="R18" s="117">
        <f t="shared" si="0"/>
        <v>1</v>
      </c>
      <c r="S18" s="200">
        <v>0.30620000000000003</v>
      </c>
      <c r="T18" s="206">
        <v>0.8</v>
      </c>
      <c r="U18" s="119">
        <f>IFERROR(T18/(1+(1-S18)*R18),"-")</f>
        <v>0.47231078049356479</v>
      </c>
      <c r="V18" s="203">
        <v>0.55000000000000004</v>
      </c>
      <c r="X18" s="120"/>
      <c r="Y18" s="118"/>
      <c r="Z18" s="107"/>
    </row>
    <row r="19" spans="2:26" s="102" customFormat="1" ht="27.75" customHeight="1" x14ac:dyDescent="0.35">
      <c r="B19" s="127"/>
      <c r="C19" s="128" t="s">
        <v>136</v>
      </c>
      <c r="D19" s="127"/>
      <c r="E19" s="127"/>
      <c r="F19" s="127"/>
      <c r="G19" s="127"/>
      <c r="H19" s="129">
        <f>C3</f>
        <v>0.01</v>
      </c>
      <c r="I19" s="127" t="str">
        <f>B3</f>
        <v>新発10年物国債の利回り</v>
      </c>
      <c r="J19" s="127"/>
      <c r="K19" s="127"/>
      <c r="L19" s="127"/>
      <c r="N19" s="188" t="s">
        <v>181</v>
      </c>
      <c r="O19" s="191">
        <v>5555</v>
      </c>
      <c r="P19" s="194">
        <v>25000</v>
      </c>
      <c r="Q19" s="193">
        <v>100000</v>
      </c>
      <c r="R19" s="117">
        <f t="shared" si="0"/>
        <v>0.25</v>
      </c>
      <c r="S19" s="200">
        <v>0.30620000000000003</v>
      </c>
      <c r="T19" s="206">
        <v>1.2</v>
      </c>
      <c r="U19" s="119">
        <f>IFERROR(T19/(1+(1-S19)*R19),"-")</f>
        <v>1.0226255912054201</v>
      </c>
      <c r="V19" s="203">
        <v>0.6</v>
      </c>
      <c r="W19" s="154"/>
      <c r="X19" s="120"/>
      <c r="Y19" s="118"/>
      <c r="Z19" s="107"/>
    </row>
    <row r="20" spans="2:26" s="127" customFormat="1" ht="27.75" customHeight="1" x14ac:dyDescent="0.3">
      <c r="C20" s="126" t="s">
        <v>137</v>
      </c>
      <c r="H20" s="131">
        <f>(1+(1-H26)*H26)*U23</f>
        <v>1.0285029856964309</v>
      </c>
      <c r="I20" s="127" t="s">
        <v>138</v>
      </c>
      <c r="N20" s="188" t="s">
        <v>182</v>
      </c>
      <c r="O20" s="191">
        <v>6666</v>
      </c>
      <c r="P20" s="194">
        <v>30000</v>
      </c>
      <c r="Q20" s="193">
        <v>80000</v>
      </c>
      <c r="R20" s="117">
        <f t="shared" si="0"/>
        <v>0.375</v>
      </c>
      <c r="S20" s="200">
        <v>0.30620000000000003</v>
      </c>
      <c r="T20" s="206">
        <v>1.05</v>
      </c>
      <c r="U20" s="119">
        <f>IFERROR(T20/(1+(1-S20)*R20),"-")</f>
        <v>0.83321760866546313</v>
      </c>
      <c r="V20" s="203">
        <v>0.4</v>
      </c>
    </row>
    <row r="21" spans="2:26" s="127" customFormat="1" ht="27.75" customHeight="1" x14ac:dyDescent="0.3">
      <c r="C21" s="126" t="s">
        <v>139</v>
      </c>
      <c r="H21" s="129">
        <f>C5</f>
        <v>5.6300000000000003E-2</v>
      </c>
      <c r="I21" s="127" t="s">
        <v>140</v>
      </c>
      <c r="N21" s="195" t="s">
        <v>183</v>
      </c>
      <c r="O21" s="196">
        <v>7777</v>
      </c>
      <c r="P21" s="197">
        <v>35000</v>
      </c>
      <c r="Q21" s="198">
        <v>60000</v>
      </c>
      <c r="R21" s="171">
        <f t="shared" si="0"/>
        <v>0.58333333333333337</v>
      </c>
      <c r="S21" s="201">
        <v>0.30620000000000003</v>
      </c>
      <c r="T21" s="207">
        <v>0.95</v>
      </c>
      <c r="U21" s="130">
        <f t="shared" si="1"/>
        <v>0.67629296536668126</v>
      </c>
      <c r="V21" s="204">
        <v>0.3</v>
      </c>
    </row>
    <row r="22" spans="2:26" s="127" customFormat="1" ht="27.75" customHeight="1" x14ac:dyDescent="0.3">
      <c r="C22" s="126" t="s">
        <v>141</v>
      </c>
      <c r="H22" s="141">
        <f>C9</f>
        <v>0.03</v>
      </c>
      <c r="I22" s="127" t="s">
        <v>142</v>
      </c>
      <c r="N22" s="102"/>
      <c r="O22" s="132"/>
      <c r="P22" s="133"/>
      <c r="Q22" s="134" t="s">
        <v>175</v>
      </c>
      <c r="R22" s="135">
        <f>AVERAGE(R15:R21)</f>
        <v>0.43690476190476196</v>
      </c>
      <c r="S22" s="136"/>
      <c r="T22" s="135">
        <f>AVERAGE(T15:T21)</f>
        <v>1</v>
      </c>
      <c r="U22" s="172">
        <f>AVERAGE(U15:U21)</f>
        <v>0.79216801102469991</v>
      </c>
      <c r="V22" s="137"/>
    </row>
    <row r="23" spans="2:26" s="127" customFormat="1" ht="27.75" customHeight="1" thickBot="1" x14ac:dyDescent="0.35">
      <c r="N23" s="102"/>
      <c r="O23" s="132"/>
      <c r="P23" s="102"/>
      <c r="Q23" s="138" t="s">
        <v>176</v>
      </c>
      <c r="R23" s="139">
        <f>MEDIAN(R15:R21)</f>
        <v>0.375</v>
      </c>
      <c r="S23" s="140"/>
      <c r="T23" s="139">
        <f>MEDIAN(T15:T21)</f>
        <v>1</v>
      </c>
      <c r="U23" s="173">
        <f>MEDIAN(U15:U21)</f>
        <v>0.83321760866546313</v>
      </c>
      <c r="V23" s="137"/>
    </row>
    <row r="24" spans="2:26" s="127" customFormat="1" ht="27.75" customHeight="1" thickBot="1" x14ac:dyDescent="0.35">
      <c r="B24" s="121" t="s">
        <v>143</v>
      </c>
      <c r="C24" s="122"/>
      <c r="D24" s="122"/>
      <c r="E24" s="122"/>
      <c r="F24" s="122"/>
      <c r="G24" s="123" t="s">
        <v>144</v>
      </c>
      <c r="H24" s="143">
        <f>C6</f>
        <v>9.5109183695818809E-3</v>
      </c>
      <c r="I24" s="105" t="s">
        <v>188</v>
      </c>
      <c r="J24" s="108"/>
      <c r="K24" s="108"/>
      <c r="L24" s="108"/>
      <c r="O24" s="142"/>
      <c r="R24" s="132"/>
      <c r="S24" s="132"/>
      <c r="T24" s="132"/>
      <c r="U24" s="132"/>
      <c r="V24" s="132"/>
    </row>
    <row r="25" spans="2:26" s="107" customFormat="1" ht="27.75" customHeight="1" thickBot="1" x14ac:dyDescent="0.35">
      <c r="B25" s="102"/>
      <c r="C25" s="102"/>
      <c r="D25" s="102"/>
      <c r="E25" s="102"/>
      <c r="F25" s="102"/>
      <c r="G25" s="102"/>
      <c r="H25" s="102"/>
      <c r="I25" s="102"/>
      <c r="J25" s="102"/>
      <c r="K25" s="102"/>
      <c r="L25" s="102"/>
      <c r="N25" s="127"/>
      <c r="O25" s="142"/>
      <c r="P25" s="127"/>
      <c r="Q25" s="127"/>
      <c r="R25" s="132"/>
      <c r="S25" s="132"/>
      <c r="T25" s="132"/>
      <c r="U25" s="132"/>
      <c r="V25" s="132"/>
    </row>
    <row r="26" spans="2:26" s="102" customFormat="1" ht="27.75" customHeight="1" thickBot="1" x14ac:dyDescent="0.35">
      <c r="B26" s="121" t="s">
        <v>145</v>
      </c>
      <c r="C26" s="122"/>
      <c r="D26" s="122"/>
      <c r="E26" s="122"/>
      <c r="F26" s="122"/>
      <c r="G26" s="123" t="s">
        <v>146</v>
      </c>
      <c r="H26" s="144">
        <f>R23</f>
        <v>0.375</v>
      </c>
      <c r="I26" s="105" t="s">
        <v>151</v>
      </c>
      <c r="N26" s="127"/>
      <c r="O26" s="142"/>
      <c r="P26" s="127"/>
      <c r="Q26" s="127"/>
      <c r="R26" s="132"/>
      <c r="S26" s="132"/>
      <c r="T26" s="132"/>
      <c r="U26" s="132"/>
      <c r="V26" s="132"/>
    </row>
    <row r="27" spans="2:26" s="102" customFormat="1" ht="27.75" customHeight="1" thickBot="1" x14ac:dyDescent="0.35">
      <c r="K27" s="127"/>
      <c r="L27" s="127"/>
      <c r="O27" s="132"/>
      <c r="R27" s="132"/>
      <c r="S27" s="132"/>
      <c r="T27" s="132"/>
      <c r="U27" s="132"/>
      <c r="V27" s="132"/>
    </row>
    <row r="28" spans="2:26" s="127" customFormat="1" ht="27.75" customHeight="1" thickBot="1" x14ac:dyDescent="0.35">
      <c r="B28" s="121" t="s">
        <v>147</v>
      </c>
      <c r="C28" s="122"/>
      <c r="D28" s="122"/>
      <c r="E28" s="122"/>
      <c r="F28" s="122"/>
      <c r="G28" s="123" t="s">
        <v>148</v>
      </c>
      <c r="H28" s="145">
        <f>C8</f>
        <v>0.30620000000000003</v>
      </c>
      <c r="I28" s="180" t="s">
        <v>189</v>
      </c>
      <c r="O28" s="142"/>
      <c r="R28" s="132"/>
      <c r="S28" s="132"/>
      <c r="T28" s="132"/>
      <c r="U28" s="132"/>
      <c r="V28" s="132"/>
    </row>
    <row r="29" spans="2:26" s="127" customFormat="1" ht="27.75" customHeight="1" thickBot="1" x14ac:dyDescent="0.35">
      <c r="C29" s="126"/>
      <c r="H29" s="146"/>
      <c r="O29" s="142"/>
      <c r="R29" s="132"/>
      <c r="S29" s="132"/>
      <c r="T29" s="132"/>
      <c r="U29" s="132"/>
      <c r="V29" s="132"/>
    </row>
    <row r="30" spans="2:26" s="127" customFormat="1" ht="27.75" customHeight="1" thickBot="1" x14ac:dyDescent="0.35">
      <c r="B30" s="147" t="s">
        <v>149</v>
      </c>
      <c r="C30" s="148"/>
      <c r="D30" s="149"/>
      <c r="E30" s="149"/>
      <c r="F30" s="150"/>
      <c r="G30" s="102"/>
      <c r="H30" s="343">
        <f>H16/(H26+1)+H24*(1-H28)*H26/(H26+1)</f>
        <v>7.3003070022920016E-2</v>
      </c>
      <c r="I30" s="151" t="s">
        <v>301</v>
      </c>
      <c r="J30" s="102"/>
      <c r="K30" s="102"/>
      <c r="L30" s="102"/>
      <c r="O30" s="142"/>
      <c r="R30" s="132"/>
      <c r="S30" s="132"/>
      <c r="T30" s="132"/>
      <c r="U30" s="132"/>
      <c r="V30" s="132"/>
    </row>
    <row r="31" spans="2:26" s="102" customFormat="1" ht="27.75" customHeight="1" x14ac:dyDescent="0.3">
      <c r="B31" s="127"/>
      <c r="C31" s="126"/>
      <c r="D31" s="127"/>
      <c r="E31" s="127"/>
      <c r="F31" s="127"/>
      <c r="G31" s="127"/>
      <c r="H31" s="152"/>
      <c r="I31" s="127"/>
      <c r="J31" s="127"/>
      <c r="K31" s="127"/>
      <c r="L31" s="127"/>
      <c r="N31" s="127"/>
      <c r="O31" s="142"/>
      <c r="P31" s="127"/>
      <c r="Q31" s="127"/>
      <c r="R31" s="132"/>
      <c r="S31" s="132"/>
      <c r="T31" s="132"/>
      <c r="U31" s="132"/>
      <c r="V31" s="132"/>
    </row>
    <row r="32" spans="2:26" s="127" customFormat="1" ht="23.25" customHeight="1" x14ac:dyDescent="0.3">
      <c r="O32" s="142"/>
      <c r="R32" s="132"/>
      <c r="S32" s="132"/>
      <c r="T32" s="132"/>
      <c r="U32" s="132"/>
      <c r="V32" s="132"/>
    </row>
    <row r="33" spans="2:22" s="127" customFormat="1" ht="23.25" customHeight="1" x14ac:dyDescent="0.3">
      <c r="O33" s="142"/>
      <c r="R33" s="132"/>
      <c r="S33" s="132"/>
      <c r="T33" s="132"/>
      <c r="U33" s="132"/>
      <c r="V33" s="132"/>
    </row>
    <row r="34" spans="2:22" s="127" customFormat="1" ht="23.25" customHeight="1" x14ac:dyDescent="0.3">
      <c r="N34" s="95"/>
      <c r="O34" s="97"/>
      <c r="P34" s="95"/>
      <c r="Q34" s="95"/>
      <c r="R34" s="96"/>
      <c r="S34" s="96"/>
      <c r="T34" s="96"/>
      <c r="U34" s="96"/>
      <c r="V34" s="96"/>
    </row>
    <row r="35" spans="2:22" s="127" customFormat="1" ht="19.5" x14ac:dyDescent="0.3">
      <c r="N35" s="95"/>
      <c r="O35" s="97"/>
      <c r="P35" s="95"/>
      <c r="Q35" s="95"/>
      <c r="R35" s="96"/>
      <c r="S35" s="96"/>
      <c r="T35" s="96"/>
      <c r="U35" s="96"/>
      <c r="V35" s="96"/>
    </row>
    <row r="36" spans="2:22" s="127" customFormat="1" ht="19.5" x14ac:dyDescent="0.3">
      <c r="N36" s="95"/>
      <c r="O36" s="97"/>
      <c r="P36" s="95"/>
      <c r="Q36" s="95"/>
      <c r="R36" s="96"/>
      <c r="S36" s="96"/>
      <c r="T36" s="96"/>
      <c r="U36" s="96"/>
      <c r="V36" s="96"/>
    </row>
    <row r="37" spans="2:22" s="127" customFormat="1" ht="19.5" x14ac:dyDescent="0.3">
      <c r="B37" s="95"/>
      <c r="C37" s="95"/>
      <c r="D37" s="95"/>
      <c r="E37" s="95"/>
      <c r="F37" s="95"/>
      <c r="G37" s="95"/>
      <c r="H37" s="95"/>
      <c r="I37" s="95"/>
      <c r="J37" s="95"/>
      <c r="K37" s="95"/>
      <c r="L37" s="95"/>
      <c r="N37" s="95"/>
      <c r="O37" s="97"/>
      <c r="P37" s="95"/>
      <c r="Q37" s="95"/>
      <c r="R37" s="96"/>
      <c r="S37" s="96"/>
      <c r="T37" s="96"/>
      <c r="U37" s="96"/>
      <c r="V37" s="96"/>
    </row>
  </sheetData>
  <mergeCells count="2">
    <mergeCell ref="B12:L12"/>
    <mergeCell ref="N12:V12"/>
  </mergeCells>
  <phoneticPr fontId="2"/>
  <hyperlinks>
    <hyperlink ref="D5" r:id="rId1" xr:uid="{2EB83646-FC6D-4103-95E5-FA702DF04D68}"/>
    <hyperlink ref="D3" r:id="rId2" xr:uid="{7F5A78FB-081A-4A4E-9A75-05433660C301}"/>
    <hyperlink ref="D4" r:id="rId3" xr:uid="{DE3DBFD3-CD86-4779-9C19-D765A95572DD}"/>
    <hyperlink ref="I28" r:id="rId4" display="対象会社の税率" xr:uid="{7B093F8C-7952-4EC2-8A09-E69316176A5D}"/>
  </hyperlinks>
  <pageMargins left="0.7" right="0.7" top="0.75" bottom="0.75" header="0.3" footer="0.3"/>
  <pageSetup paperSize="9" orientation="portrait" horizontalDpi="4294967293" verticalDpi="0" r:id="rId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6F663D-10D1-4AA9-B8FE-DEBF42E0C8FB}">
  <sheetPr>
    <tabColor theme="8" tint="0.59999389629810485"/>
  </sheetPr>
  <dimension ref="A1:Z17"/>
  <sheetViews>
    <sheetView workbookViewId="0">
      <pane xSplit="2" ySplit="4" topLeftCell="C5" activePane="bottomRight" state="frozen"/>
      <selection activeCell="O29" sqref="O29"/>
      <selection pane="topRight" activeCell="O29" sqref="O29"/>
      <selection pane="bottomLeft" activeCell="O29" sqref="O29"/>
      <selection pane="bottomRight" activeCell="B3" sqref="B3:B4"/>
    </sheetView>
  </sheetViews>
  <sheetFormatPr defaultColWidth="9.140625" defaultRowHeight="16.5" outlineLevelCol="1" x14ac:dyDescent="0.15"/>
  <cols>
    <col min="1" max="1" width="4.42578125" style="33" customWidth="1"/>
    <col min="2" max="2" width="32.85546875" style="35" customWidth="1"/>
    <col min="3" max="3" width="9" style="35" bestFit="1" customWidth="1"/>
    <col min="4" max="4" width="11.5703125" style="35" bestFit="1" customWidth="1"/>
    <col min="5" max="5" width="11.5703125" style="36" bestFit="1" customWidth="1"/>
    <col min="6" max="6" width="11.28515625" style="36" bestFit="1" customWidth="1"/>
    <col min="7" max="7" width="12.140625" style="36" customWidth="1"/>
    <col min="8" max="8" width="14.28515625" style="36" hidden="1" customWidth="1" outlineLevel="1"/>
    <col min="9" max="11" width="11.5703125" style="35" hidden="1" customWidth="1" outlineLevel="1"/>
    <col min="12" max="12" width="10.85546875" style="35" customWidth="1" collapsed="1"/>
    <col min="13" max="25" width="10.85546875" style="35" customWidth="1"/>
    <col min="26" max="26" width="10" style="35" bestFit="1" customWidth="1"/>
    <col min="27" max="16384" width="9.140625" style="35"/>
  </cols>
  <sheetData>
    <row r="1" spans="2:26" x14ac:dyDescent="0.15">
      <c r="B1" s="1" t="s">
        <v>303</v>
      </c>
    </row>
    <row r="2" spans="2:26" ht="27.75" customHeight="1" x14ac:dyDescent="0.15">
      <c r="B2" s="34" t="s">
        <v>74</v>
      </c>
      <c r="C2" s="34" t="s">
        <v>219</v>
      </c>
    </row>
    <row r="3" spans="2:26" ht="22.5" customHeight="1" x14ac:dyDescent="0.15">
      <c r="B3" s="359" t="s">
        <v>66</v>
      </c>
      <c r="C3" s="355" t="s">
        <v>62</v>
      </c>
      <c r="D3" s="37" t="s">
        <v>67</v>
      </c>
      <c r="E3" s="358" t="s">
        <v>65</v>
      </c>
      <c r="F3" s="358" t="s">
        <v>53</v>
      </c>
      <c r="G3" s="357" t="s">
        <v>260</v>
      </c>
      <c r="H3" s="357" t="s">
        <v>261</v>
      </c>
      <c r="I3" s="356" t="s">
        <v>2</v>
      </c>
      <c r="J3" s="356"/>
      <c r="K3" s="356"/>
      <c r="L3" s="353" t="s">
        <v>0</v>
      </c>
      <c r="M3" s="353"/>
      <c r="N3" s="353"/>
      <c r="O3" s="353" t="s">
        <v>31</v>
      </c>
      <c r="P3" s="353"/>
      <c r="Q3" s="353"/>
      <c r="R3" s="251" t="s">
        <v>262</v>
      </c>
      <c r="S3" s="353" t="s">
        <v>54</v>
      </c>
      <c r="T3" s="353"/>
      <c r="U3" s="354"/>
      <c r="V3" s="353" t="s">
        <v>218</v>
      </c>
      <c r="W3" s="353"/>
      <c r="X3" s="354"/>
      <c r="Y3" s="38" t="s">
        <v>265</v>
      </c>
    </row>
    <row r="4" spans="2:26" ht="22.5" customHeight="1" x14ac:dyDescent="0.15">
      <c r="B4" s="360"/>
      <c r="C4" s="356"/>
      <c r="D4" s="37" t="s">
        <v>68</v>
      </c>
      <c r="E4" s="361"/>
      <c r="F4" s="361"/>
      <c r="G4" s="358"/>
      <c r="H4" s="358"/>
      <c r="I4" s="38" t="s">
        <v>55</v>
      </c>
      <c r="J4" s="38" t="s">
        <v>63</v>
      </c>
      <c r="K4" s="38" t="s">
        <v>64</v>
      </c>
      <c r="L4" s="38" t="s">
        <v>55</v>
      </c>
      <c r="M4" s="38" t="str">
        <f>J4</f>
        <v>今期</v>
      </c>
      <c r="N4" s="38" t="str">
        <f>K4</f>
        <v>来期</v>
      </c>
      <c r="O4" s="38" t="s">
        <v>55</v>
      </c>
      <c r="P4" s="38" t="str">
        <f>M4</f>
        <v>今期</v>
      </c>
      <c r="Q4" s="38" t="str">
        <f>N4</f>
        <v>来期</v>
      </c>
      <c r="R4" s="38" t="str">
        <f>O4</f>
        <v>LTM</v>
      </c>
      <c r="S4" s="38" t="s">
        <v>55</v>
      </c>
      <c r="T4" s="38" t="str">
        <f>M4</f>
        <v>今期</v>
      </c>
      <c r="U4" s="38" t="str">
        <f>N4</f>
        <v>来期</v>
      </c>
      <c r="V4" s="38" t="s">
        <v>55</v>
      </c>
      <c r="W4" s="38" t="str">
        <f>P4</f>
        <v>今期</v>
      </c>
      <c r="X4" s="38" t="str">
        <f>Q4</f>
        <v>来期</v>
      </c>
      <c r="Y4" s="38" t="s">
        <v>55</v>
      </c>
    </row>
    <row r="5" spans="2:26" ht="35.25" customHeight="1" x14ac:dyDescent="0.15">
      <c r="B5" s="39" t="str">
        <f>WACC!N15</f>
        <v>AAAA</v>
      </c>
      <c r="C5" s="35">
        <f>WACC!O15</f>
        <v>1111</v>
      </c>
      <c r="D5" s="268">
        <f>E5+F5+G5+H5</f>
        <v>55500</v>
      </c>
      <c r="E5" s="40">
        <f>WACC!Q15</f>
        <v>50000</v>
      </c>
      <c r="F5" s="40">
        <f>WACC!P15</f>
        <v>5000</v>
      </c>
      <c r="G5" s="286">
        <v>500</v>
      </c>
      <c r="H5" s="282"/>
      <c r="I5" s="33"/>
      <c r="J5" s="33"/>
      <c r="K5" s="33"/>
      <c r="L5" s="301">
        <v>3500</v>
      </c>
      <c r="M5" s="301">
        <v>4500</v>
      </c>
      <c r="N5" s="301">
        <v>5000</v>
      </c>
      <c r="O5" s="301">
        <v>2000</v>
      </c>
      <c r="P5" s="301">
        <v>2500</v>
      </c>
      <c r="Q5" s="301">
        <v>3000</v>
      </c>
      <c r="R5" s="301">
        <v>25000</v>
      </c>
      <c r="S5" s="41">
        <f t="shared" ref="S5:U8" si="0">IFERROR($D5/L5, "n/a")</f>
        <v>15.857142857142858</v>
      </c>
      <c r="T5" s="41">
        <f t="shared" si="0"/>
        <v>12.333333333333334</v>
      </c>
      <c r="U5" s="41">
        <f t="shared" si="0"/>
        <v>11.1</v>
      </c>
      <c r="V5" s="41">
        <f>IFERROR($E5/O5, "n/a")</f>
        <v>25</v>
      </c>
      <c r="W5" s="41">
        <f t="shared" ref="W5:X5" si="1">IFERROR($E5/P5, "n/a")</f>
        <v>20</v>
      </c>
      <c r="X5" s="41">
        <f t="shared" si="1"/>
        <v>16.666666666666668</v>
      </c>
      <c r="Y5" s="41">
        <f>IFERROR($E5/R5, "n/a")</f>
        <v>2</v>
      </c>
      <c r="Z5" s="153"/>
    </row>
    <row r="6" spans="2:26" ht="35.25" customHeight="1" x14ac:dyDescent="0.15">
      <c r="B6" s="39" t="str">
        <f>WACC!N16</f>
        <v>BBBB</v>
      </c>
      <c r="C6" s="35">
        <f>WACC!O16</f>
        <v>2222</v>
      </c>
      <c r="D6" s="268">
        <f t="shared" ref="D6:D11" si="2">E6+F6+G6+H6</f>
        <v>51000</v>
      </c>
      <c r="E6" s="40">
        <f>WACC!Q16</f>
        <v>40000</v>
      </c>
      <c r="F6" s="40">
        <f>WACC!P16</f>
        <v>10000</v>
      </c>
      <c r="G6" s="286">
        <v>1000</v>
      </c>
      <c r="H6" s="282"/>
      <c r="I6" s="33"/>
      <c r="J6" s="33"/>
      <c r="K6" s="33"/>
      <c r="L6" s="301">
        <v>2500</v>
      </c>
      <c r="M6" s="301">
        <v>3000</v>
      </c>
      <c r="N6" s="301">
        <v>3500</v>
      </c>
      <c r="O6" s="301">
        <v>1500</v>
      </c>
      <c r="P6" s="301">
        <v>1750</v>
      </c>
      <c r="Q6" s="301">
        <v>2000</v>
      </c>
      <c r="R6" s="301">
        <v>30000</v>
      </c>
      <c r="S6" s="41">
        <f t="shared" si="0"/>
        <v>20.399999999999999</v>
      </c>
      <c r="T6" s="41">
        <f t="shared" si="0"/>
        <v>17</v>
      </c>
      <c r="U6" s="41">
        <f t="shared" si="0"/>
        <v>14.571428571428571</v>
      </c>
      <c r="V6" s="41">
        <f t="shared" ref="V6:V11" si="3">IFERROR($E6/O6, "n/a")</f>
        <v>26.666666666666668</v>
      </c>
      <c r="W6" s="41">
        <f t="shared" ref="W6:W11" si="4">IFERROR($E6/P6, "n/a")</f>
        <v>22.857142857142858</v>
      </c>
      <c r="X6" s="41">
        <f t="shared" ref="X6:X11" si="5">IFERROR($E6/Q6, "n/a")</f>
        <v>20</v>
      </c>
      <c r="Y6" s="41">
        <f t="shared" ref="Y6:Y11" si="6">IFERROR($E6/R6, "n/a")</f>
        <v>1.3333333333333333</v>
      </c>
    </row>
    <row r="7" spans="2:26" ht="35.25" customHeight="1" x14ac:dyDescent="0.15">
      <c r="B7" s="39" t="str">
        <f>WACC!N17</f>
        <v>CCCC</v>
      </c>
      <c r="C7" s="35">
        <f>WACC!O17</f>
        <v>3333</v>
      </c>
      <c r="D7" s="268">
        <f t="shared" si="2"/>
        <v>46500</v>
      </c>
      <c r="E7" s="40">
        <f>WACC!Q17</f>
        <v>30000</v>
      </c>
      <c r="F7" s="40">
        <f>WACC!P17</f>
        <v>15000</v>
      </c>
      <c r="G7" s="286">
        <v>1500</v>
      </c>
      <c r="H7" s="279"/>
      <c r="I7" s="33"/>
      <c r="J7" s="33"/>
      <c r="K7" s="283"/>
      <c r="L7" s="301">
        <v>6000</v>
      </c>
      <c r="M7" s="301">
        <v>5500</v>
      </c>
      <c r="N7" s="301">
        <v>5000</v>
      </c>
      <c r="O7" s="301">
        <v>2000</v>
      </c>
      <c r="P7" s="301">
        <v>2500</v>
      </c>
      <c r="Q7" s="301">
        <v>3000</v>
      </c>
      <c r="R7" s="301">
        <v>40000</v>
      </c>
      <c r="S7" s="41">
        <f t="shared" si="0"/>
        <v>7.75</v>
      </c>
      <c r="T7" s="41">
        <f t="shared" si="0"/>
        <v>8.454545454545455</v>
      </c>
      <c r="U7" s="41">
        <f t="shared" si="0"/>
        <v>9.3000000000000007</v>
      </c>
      <c r="V7" s="41">
        <f t="shared" si="3"/>
        <v>15</v>
      </c>
      <c r="W7" s="41">
        <f t="shared" si="4"/>
        <v>12</v>
      </c>
      <c r="X7" s="41">
        <f t="shared" si="5"/>
        <v>10</v>
      </c>
      <c r="Y7" s="41">
        <f t="shared" si="6"/>
        <v>0.75</v>
      </c>
    </row>
    <row r="8" spans="2:26" ht="35.25" customHeight="1" x14ac:dyDescent="0.15">
      <c r="B8" s="39" t="str">
        <f>WACC!N18</f>
        <v>DDDD</v>
      </c>
      <c r="C8" s="35">
        <f>WACC!O18</f>
        <v>4444</v>
      </c>
      <c r="D8" s="268">
        <f t="shared" si="2"/>
        <v>42000</v>
      </c>
      <c r="E8" s="40">
        <f>WACC!Q18</f>
        <v>20000</v>
      </c>
      <c r="F8" s="40">
        <f>WACC!P18</f>
        <v>20000</v>
      </c>
      <c r="G8" s="286">
        <v>2000</v>
      </c>
      <c r="H8" s="279"/>
      <c r="I8" s="33"/>
      <c r="J8" s="33"/>
      <c r="K8" s="283"/>
      <c r="L8" s="301">
        <v>4000</v>
      </c>
      <c r="M8" s="301">
        <v>3750</v>
      </c>
      <c r="N8" s="301">
        <v>3500</v>
      </c>
      <c r="O8" s="301">
        <v>1500</v>
      </c>
      <c r="P8" s="301">
        <v>1250</v>
      </c>
      <c r="Q8" s="301">
        <v>1000</v>
      </c>
      <c r="R8" s="301">
        <v>15000</v>
      </c>
      <c r="S8" s="41">
        <f t="shared" si="0"/>
        <v>10.5</v>
      </c>
      <c r="T8" s="41">
        <f t="shared" si="0"/>
        <v>11.2</v>
      </c>
      <c r="U8" s="41">
        <f t="shared" si="0"/>
        <v>12</v>
      </c>
      <c r="V8" s="41">
        <f t="shared" si="3"/>
        <v>13.333333333333334</v>
      </c>
      <c r="W8" s="41">
        <f t="shared" si="4"/>
        <v>16</v>
      </c>
      <c r="X8" s="41">
        <f t="shared" si="5"/>
        <v>20</v>
      </c>
      <c r="Y8" s="41">
        <f t="shared" si="6"/>
        <v>1.3333333333333333</v>
      </c>
    </row>
    <row r="9" spans="2:26" ht="35.25" customHeight="1" x14ac:dyDescent="0.15">
      <c r="B9" s="39" t="str">
        <f>WACC!N19</f>
        <v>EEEE</v>
      </c>
      <c r="C9" s="35">
        <f>WACC!O19</f>
        <v>5555</v>
      </c>
      <c r="D9" s="268">
        <f t="shared" si="2"/>
        <v>127500</v>
      </c>
      <c r="E9" s="40">
        <f>WACC!Q19</f>
        <v>100000</v>
      </c>
      <c r="F9" s="40">
        <f>WACC!P19</f>
        <v>25000</v>
      </c>
      <c r="G9" s="286">
        <v>2500</v>
      </c>
      <c r="H9" s="279"/>
      <c r="I9" s="33"/>
      <c r="J9" s="33"/>
      <c r="K9" s="283"/>
      <c r="L9" s="301">
        <v>7000</v>
      </c>
      <c r="M9" s="301">
        <v>8000</v>
      </c>
      <c r="N9" s="301">
        <v>9000</v>
      </c>
      <c r="O9" s="301">
        <v>5000</v>
      </c>
      <c r="P9" s="301">
        <v>6000</v>
      </c>
      <c r="Q9" s="301">
        <v>7000</v>
      </c>
      <c r="R9" s="301">
        <v>100000</v>
      </c>
      <c r="S9" s="41">
        <f t="shared" ref="S9:U9" si="7">IFERROR($D9/L9, "n/a")</f>
        <v>18.214285714285715</v>
      </c>
      <c r="T9" s="41">
        <f t="shared" si="7"/>
        <v>15.9375</v>
      </c>
      <c r="U9" s="41">
        <f t="shared" si="7"/>
        <v>14.166666666666666</v>
      </c>
      <c r="V9" s="41">
        <f t="shared" si="3"/>
        <v>20</v>
      </c>
      <c r="W9" s="41">
        <f t="shared" si="4"/>
        <v>16.666666666666668</v>
      </c>
      <c r="X9" s="41">
        <f t="shared" si="5"/>
        <v>14.285714285714286</v>
      </c>
      <c r="Y9" s="41">
        <f t="shared" si="6"/>
        <v>1</v>
      </c>
    </row>
    <row r="10" spans="2:26" ht="35.25" customHeight="1" x14ac:dyDescent="0.15">
      <c r="B10" s="39" t="str">
        <f>WACC!N20</f>
        <v>FFFF</v>
      </c>
      <c r="C10" s="35">
        <f>WACC!O20</f>
        <v>6666</v>
      </c>
      <c r="D10" s="268">
        <f t="shared" si="2"/>
        <v>113000</v>
      </c>
      <c r="E10" s="40">
        <f>WACC!Q20</f>
        <v>80000</v>
      </c>
      <c r="F10" s="40">
        <f>WACC!P20</f>
        <v>30000</v>
      </c>
      <c r="G10" s="287">
        <v>3000</v>
      </c>
      <c r="H10" s="280"/>
      <c r="I10" s="284"/>
      <c r="J10" s="284"/>
      <c r="K10" s="284"/>
      <c r="L10" s="302">
        <v>6000</v>
      </c>
      <c r="M10" s="302">
        <v>7000</v>
      </c>
      <c r="N10" s="302">
        <v>8000</v>
      </c>
      <c r="O10" s="302">
        <v>2500</v>
      </c>
      <c r="P10" s="302">
        <v>3000</v>
      </c>
      <c r="Q10" s="302">
        <v>4000</v>
      </c>
      <c r="R10" s="302">
        <v>60000</v>
      </c>
      <c r="S10" s="41">
        <f t="shared" ref="S10:U11" si="8">IFERROR($D10/L10, "n/a")</f>
        <v>18.833333333333332</v>
      </c>
      <c r="T10" s="41">
        <f t="shared" si="8"/>
        <v>16.142857142857142</v>
      </c>
      <c r="U10" s="41">
        <f t="shared" si="8"/>
        <v>14.125</v>
      </c>
      <c r="V10" s="41">
        <f t="shared" si="3"/>
        <v>32</v>
      </c>
      <c r="W10" s="41">
        <f t="shared" si="4"/>
        <v>26.666666666666668</v>
      </c>
      <c r="X10" s="41">
        <f t="shared" si="5"/>
        <v>20</v>
      </c>
      <c r="Y10" s="41">
        <f t="shared" si="6"/>
        <v>1.3333333333333333</v>
      </c>
    </row>
    <row r="11" spans="2:26" ht="35.25" customHeight="1" thickBot="1" x14ac:dyDescent="0.2">
      <c r="B11" s="42" t="str">
        <f>WACC!N21</f>
        <v>GGGG</v>
      </c>
      <c r="C11" s="43">
        <f>WACC!O21</f>
        <v>7777</v>
      </c>
      <c r="D11" s="44">
        <f t="shared" si="2"/>
        <v>98500</v>
      </c>
      <c r="E11" s="45">
        <f>WACC!Q21</f>
        <v>60000</v>
      </c>
      <c r="F11" s="45">
        <f>WACC!P21</f>
        <v>35000</v>
      </c>
      <c r="G11" s="288">
        <v>3500</v>
      </c>
      <c r="H11" s="281"/>
      <c r="I11" s="285"/>
      <c r="J11" s="285"/>
      <c r="K11" s="285"/>
      <c r="L11" s="303">
        <v>5000</v>
      </c>
      <c r="M11" s="303">
        <v>8000</v>
      </c>
      <c r="N11" s="303">
        <v>9000</v>
      </c>
      <c r="O11" s="303">
        <v>2000</v>
      </c>
      <c r="P11" s="303">
        <v>3000</v>
      </c>
      <c r="Q11" s="303">
        <v>4000</v>
      </c>
      <c r="R11" s="302">
        <v>50000</v>
      </c>
      <c r="S11" s="41">
        <f t="shared" si="8"/>
        <v>19.7</v>
      </c>
      <c r="T11" s="41">
        <f t="shared" si="8"/>
        <v>12.3125</v>
      </c>
      <c r="U11" s="41">
        <f t="shared" si="8"/>
        <v>10.944444444444445</v>
      </c>
      <c r="V11" s="41">
        <f t="shared" si="3"/>
        <v>30</v>
      </c>
      <c r="W11" s="41">
        <f t="shared" si="4"/>
        <v>20</v>
      </c>
      <c r="X11" s="41">
        <f t="shared" si="5"/>
        <v>15</v>
      </c>
      <c r="Y11" s="41">
        <f t="shared" si="6"/>
        <v>1.2</v>
      </c>
    </row>
    <row r="12" spans="2:26" ht="35.25" customHeight="1" x14ac:dyDescent="0.15">
      <c r="B12" s="39" t="s">
        <v>150</v>
      </c>
      <c r="K12" s="269"/>
      <c r="L12" s="270"/>
      <c r="M12" s="271"/>
      <c r="N12" s="272"/>
      <c r="O12" s="270"/>
      <c r="P12" s="271"/>
      <c r="Q12" s="272"/>
      <c r="R12" s="277" t="s">
        <v>56</v>
      </c>
      <c r="S12" s="273">
        <f>AVERAGE(S5:S11)</f>
        <v>15.893537414965985</v>
      </c>
      <c r="T12" s="273">
        <f t="shared" ref="T12:Y12" si="9">AVERAGE(T5:T11)</f>
        <v>13.340105132962275</v>
      </c>
      <c r="U12" s="273">
        <f t="shared" si="9"/>
        <v>12.315362811791385</v>
      </c>
      <c r="V12" s="273">
        <f t="shared" si="9"/>
        <v>23.142857142857142</v>
      </c>
      <c r="W12" s="273">
        <f t="shared" si="9"/>
        <v>19.170068027210885</v>
      </c>
      <c r="X12" s="273">
        <f t="shared" si="9"/>
        <v>16.564625850340139</v>
      </c>
      <c r="Y12" s="274">
        <f t="shared" si="9"/>
        <v>1.2785714285714285</v>
      </c>
    </row>
    <row r="13" spans="2:26" ht="35.25" customHeight="1" thickBot="1" x14ac:dyDescent="0.2">
      <c r="B13" s="39" t="s">
        <v>264</v>
      </c>
      <c r="N13" s="272"/>
      <c r="Q13" s="272"/>
      <c r="R13" s="278" t="s">
        <v>57</v>
      </c>
      <c r="S13" s="275">
        <f>MEDIAN(S6:S12)</f>
        <v>18.214285714285715</v>
      </c>
      <c r="T13" s="275">
        <f t="shared" ref="T13:Y13" si="10">MEDIAN(T6:T12)</f>
        <v>13.340105132962275</v>
      </c>
      <c r="U13" s="275">
        <f t="shared" si="10"/>
        <v>12.315362811791385</v>
      </c>
      <c r="V13" s="275">
        <f t="shared" si="10"/>
        <v>23.142857142857142</v>
      </c>
      <c r="W13" s="275">
        <f t="shared" si="10"/>
        <v>19.170068027210885</v>
      </c>
      <c r="X13" s="275">
        <f t="shared" si="10"/>
        <v>16.564625850340139</v>
      </c>
      <c r="Y13" s="276">
        <f t="shared" si="10"/>
        <v>1.2785714285714285</v>
      </c>
    </row>
    <row r="14" spans="2:26" ht="35.25" customHeight="1" x14ac:dyDescent="0.15">
      <c r="B14" s="39" t="s">
        <v>263</v>
      </c>
    </row>
    <row r="15" spans="2:26" ht="26.25" customHeight="1" x14ac:dyDescent="0.15">
      <c r="L15" s="46"/>
      <c r="M15" s="46"/>
      <c r="O15" s="46"/>
      <c r="P15" s="46"/>
      <c r="S15" s="33"/>
      <c r="T15" s="33"/>
      <c r="U15" s="33"/>
      <c r="V15" s="33"/>
      <c r="W15" s="33"/>
      <c r="X15" s="33"/>
      <c r="Y15" s="33"/>
    </row>
    <row r="16" spans="2:26" ht="26.25" customHeight="1" x14ac:dyDescent="0.15">
      <c r="N16" s="46"/>
      <c r="Q16" s="46"/>
      <c r="R16" s="46"/>
      <c r="S16" s="33"/>
      <c r="T16" s="33"/>
      <c r="U16" s="33"/>
      <c r="V16" s="33"/>
      <c r="W16" s="33"/>
      <c r="X16" s="33"/>
      <c r="Y16" s="33"/>
    </row>
    <row r="17" spans="19:25" x14ac:dyDescent="0.15">
      <c r="S17" s="33"/>
      <c r="T17" s="33"/>
      <c r="U17" s="33"/>
      <c r="V17" s="33"/>
      <c r="W17" s="33"/>
      <c r="X17" s="33"/>
      <c r="Y17" s="33"/>
    </row>
  </sheetData>
  <mergeCells count="11">
    <mergeCell ref="V3:X3"/>
    <mergeCell ref="S3:U3"/>
    <mergeCell ref="C3:C4"/>
    <mergeCell ref="H3:H4"/>
    <mergeCell ref="B3:B4"/>
    <mergeCell ref="E3:E4"/>
    <mergeCell ref="F3:F4"/>
    <mergeCell ref="G3:G4"/>
    <mergeCell ref="I3:K3"/>
    <mergeCell ref="L3:N3"/>
    <mergeCell ref="O3:Q3"/>
  </mergeCells>
  <phoneticPr fontId="2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363030-AC0D-4C1C-81B7-5666C6C82ED8}">
  <sheetPr>
    <tabColor theme="8" tint="0.59999389629810485"/>
    <outlinePr summaryBelow="0" summaryRight="0"/>
    <pageSetUpPr autoPageBreaks="0"/>
  </sheetPr>
  <dimension ref="A1:M33"/>
  <sheetViews>
    <sheetView zoomScaleNormal="100" workbookViewId="0">
      <selection activeCell="B13" sqref="B13"/>
    </sheetView>
  </sheetViews>
  <sheetFormatPr defaultColWidth="9.140625" defaultRowHeight="26.25" customHeight="1" x14ac:dyDescent="0.25"/>
  <cols>
    <col min="1" max="1" width="21.42578125" style="267" customWidth="1"/>
    <col min="2" max="2" width="52.5703125" style="253" customWidth="1"/>
    <col min="3" max="3" width="56" style="253" customWidth="1"/>
    <col min="4" max="4" width="36.140625" style="253" hidden="1" customWidth="1"/>
    <col min="5" max="8" width="15.85546875" style="253" customWidth="1"/>
    <col min="9" max="9" width="9.140625" style="253"/>
    <col min="10" max="10" width="9.140625" style="254"/>
    <col min="11" max="16384" width="9.140625" style="253"/>
  </cols>
  <sheetData>
    <row r="1" spans="1:8" ht="26.25" customHeight="1" x14ac:dyDescent="0.25">
      <c r="A1" s="1" t="s">
        <v>303</v>
      </c>
    </row>
    <row r="2" spans="1:8" s="252" customFormat="1" ht="35.25" customHeight="1" x14ac:dyDescent="0.15">
      <c r="A2" s="344" t="s">
        <v>69</v>
      </c>
      <c r="B2" s="344" t="s">
        <v>224</v>
      </c>
      <c r="C2" s="344" t="s">
        <v>225</v>
      </c>
      <c r="D2" s="344" t="s">
        <v>58</v>
      </c>
      <c r="E2" s="344" t="s">
        <v>59</v>
      </c>
      <c r="F2" s="344" t="s">
        <v>246</v>
      </c>
      <c r="G2" s="344" t="s">
        <v>247</v>
      </c>
      <c r="H2" s="344" t="s">
        <v>248</v>
      </c>
    </row>
    <row r="3" spans="1:8" ht="35.25" customHeight="1" x14ac:dyDescent="0.25">
      <c r="A3" s="289" t="s">
        <v>226</v>
      </c>
      <c r="B3" s="290" t="s">
        <v>236</v>
      </c>
      <c r="C3" s="291" t="s">
        <v>249</v>
      </c>
      <c r="D3" s="291" t="s">
        <v>60</v>
      </c>
      <c r="E3" s="292">
        <v>1</v>
      </c>
      <c r="F3" s="299">
        <v>18</v>
      </c>
      <c r="G3" s="299">
        <v>17</v>
      </c>
      <c r="H3" s="293">
        <v>5000</v>
      </c>
    </row>
    <row r="4" spans="1:8" ht="35.25" customHeight="1" x14ac:dyDescent="0.25">
      <c r="A4" s="294" t="s">
        <v>227</v>
      </c>
      <c r="B4" s="295" t="s">
        <v>237</v>
      </c>
      <c r="C4" s="296" t="s">
        <v>250</v>
      </c>
      <c r="D4" s="296" t="s">
        <v>61</v>
      </c>
      <c r="E4" s="297">
        <v>1</v>
      </c>
      <c r="F4" s="300">
        <v>17</v>
      </c>
      <c r="G4" s="300">
        <v>15.5</v>
      </c>
      <c r="H4" s="298">
        <v>10000</v>
      </c>
    </row>
    <row r="5" spans="1:8" ht="35.25" customHeight="1" x14ac:dyDescent="0.25">
      <c r="A5" s="294" t="s">
        <v>228</v>
      </c>
      <c r="B5" s="295" t="s">
        <v>238</v>
      </c>
      <c r="C5" s="296" t="s">
        <v>251</v>
      </c>
      <c r="D5" s="296"/>
      <c r="E5" s="297">
        <v>1</v>
      </c>
      <c r="F5" s="299">
        <v>20</v>
      </c>
      <c r="G5" s="299">
        <v>19</v>
      </c>
      <c r="H5" s="298">
        <v>15000</v>
      </c>
    </row>
    <row r="6" spans="1:8" ht="35.25" customHeight="1" x14ac:dyDescent="0.25">
      <c r="A6" s="289" t="s">
        <v>229</v>
      </c>
      <c r="B6" s="295" t="s">
        <v>239</v>
      </c>
      <c r="C6" s="296" t="s">
        <v>252</v>
      </c>
      <c r="D6" s="296"/>
      <c r="E6" s="297">
        <v>1</v>
      </c>
      <c r="F6" s="300">
        <v>15</v>
      </c>
      <c r="G6" s="300">
        <v>14</v>
      </c>
      <c r="H6" s="298">
        <v>20000</v>
      </c>
    </row>
    <row r="7" spans="1:8" ht="35.25" customHeight="1" x14ac:dyDescent="0.25">
      <c r="A7" s="294" t="s">
        <v>230</v>
      </c>
      <c r="B7" s="295" t="s">
        <v>240</v>
      </c>
      <c r="C7" s="296" t="s">
        <v>253</v>
      </c>
      <c r="D7" s="296"/>
      <c r="E7" s="297">
        <v>1</v>
      </c>
      <c r="F7" s="300">
        <v>17</v>
      </c>
      <c r="G7" s="299">
        <v>16</v>
      </c>
      <c r="H7" s="298">
        <v>25000</v>
      </c>
    </row>
    <row r="8" spans="1:8" ht="35.25" customHeight="1" x14ac:dyDescent="0.25">
      <c r="A8" s="294" t="s">
        <v>231</v>
      </c>
      <c r="B8" s="295" t="s">
        <v>241</v>
      </c>
      <c r="C8" s="296" t="s">
        <v>254</v>
      </c>
      <c r="D8" s="296"/>
      <c r="E8" s="297">
        <v>1</v>
      </c>
      <c r="F8" s="300">
        <v>22</v>
      </c>
      <c r="G8" s="300">
        <v>20</v>
      </c>
      <c r="H8" s="298">
        <v>30000</v>
      </c>
    </row>
    <row r="9" spans="1:8" ht="35.25" customHeight="1" x14ac:dyDescent="0.25">
      <c r="A9" s="289" t="s">
        <v>232</v>
      </c>
      <c r="B9" s="295" t="s">
        <v>242</v>
      </c>
      <c r="C9" s="296" t="s">
        <v>255</v>
      </c>
      <c r="D9" s="296"/>
      <c r="E9" s="297">
        <v>1</v>
      </c>
      <c r="F9" s="300">
        <v>25</v>
      </c>
      <c r="G9" s="299">
        <v>20</v>
      </c>
      <c r="H9" s="298">
        <v>40000</v>
      </c>
    </row>
    <row r="10" spans="1:8" ht="35.25" customHeight="1" x14ac:dyDescent="0.25">
      <c r="A10" s="294" t="s">
        <v>233</v>
      </c>
      <c r="B10" s="295" t="s">
        <v>243</v>
      </c>
      <c r="C10" s="296" t="s">
        <v>256</v>
      </c>
      <c r="D10" s="296"/>
      <c r="E10" s="297">
        <v>1</v>
      </c>
      <c r="F10" s="300">
        <v>17</v>
      </c>
      <c r="G10" s="300">
        <v>16.5</v>
      </c>
      <c r="H10" s="298">
        <v>50000</v>
      </c>
    </row>
    <row r="11" spans="1:8" ht="35.25" customHeight="1" x14ac:dyDescent="0.25">
      <c r="A11" s="294" t="s">
        <v>234</v>
      </c>
      <c r="B11" s="295" t="s">
        <v>244</v>
      </c>
      <c r="C11" s="296" t="s">
        <v>257</v>
      </c>
      <c r="D11" s="296"/>
      <c r="E11" s="297">
        <v>1</v>
      </c>
      <c r="F11" s="300">
        <v>15</v>
      </c>
      <c r="G11" s="300">
        <v>13</v>
      </c>
      <c r="H11" s="298">
        <v>100000</v>
      </c>
    </row>
    <row r="12" spans="1:8" ht="35.25" customHeight="1" thickBot="1" x14ac:dyDescent="0.3">
      <c r="A12" s="289" t="s">
        <v>235</v>
      </c>
      <c r="B12" s="295" t="s">
        <v>245</v>
      </c>
      <c r="C12" s="296" t="s">
        <v>258</v>
      </c>
      <c r="D12" s="296"/>
      <c r="E12" s="297">
        <v>1</v>
      </c>
      <c r="F12" s="300">
        <v>12</v>
      </c>
      <c r="G12" s="300">
        <v>10</v>
      </c>
      <c r="H12" s="298">
        <v>150000</v>
      </c>
    </row>
    <row r="13" spans="1:8" ht="35.25" customHeight="1" x14ac:dyDescent="0.25">
      <c r="A13" s="255"/>
      <c r="B13" s="256"/>
      <c r="C13" s="256"/>
      <c r="D13" s="256"/>
      <c r="E13" s="257" t="s">
        <v>56</v>
      </c>
      <c r="F13" s="345">
        <f>AVERAGE(F3:F12)</f>
        <v>17.8</v>
      </c>
      <c r="G13" s="346">
        <f>AVERAGE(G3:G12)</f>
        <v>16.100000000000001</v>
      </c>
      <c r="H13" s="256"/>
    </row>
    <row r="14" spans="1:8" s="262" customFormat="1" ht="35.25" customHeight="1" thickBot="1" x14ac:dyDescent="0.2">
      <c r="A14" s="258"/>
      <c r="B14" s="259"/>
      <c r="C14" s="259"/>
      <c r="D14" s="260"/>
      <c r="E14" s="261" t="s">
        <v>57</v>
      </c>
      <c r="F14" s="347">
        <f>MEDIAN(F3:F12)</f>
        <v>17</v>
      </c>
      <c r="G14" s="348">
        <f>MEDIAN(G3:G12)</f>
        <v>16.25</v>
      </c>
      <c r="H14" s="259"/>
    </row>
    <row r="15" spans="1:8" s="262" customFormat="1" ht="26.25" customHeight="1" x14ac:dyDescent="0.15">
      <c r="A15" s="263"/>
      <c r="C15" s="264"/>
      <c r="F15" s="265"/>
    </row>
    <row r="16" spans="1:8" s="262" customFormat="1" ht="26.25" customHeight="1" x14ac:dyDescent="0.15">
      <c r="A16" s="266"/>
    </row>
    <row r="33" spans="13:13" ht="26.25" customHeight="1" x14ac:dyDescent="0.25">
      <c r="M33" s="47" t="s">
        <v>70</v>
      </c>
    </row>
  </sheetData>
  <phoneticPr fontId="2"/>
  <pageMargins left="0.2" right="0.2" top="0.5" bottom="0.5" header="0.5" footer="0.5"/>
  <pageSetup fitToWidth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8</vt:i4>
      </vt:variant>
    </vt:vector>
  </HeadingPairs>
  <TitlesOfParts>
    <vt:vector size="8" baseType="lpstr">
      <vt:lpstr>免責事項</vt:lpstr>
      <vt:lpstr>Output</vt:lpstr>
      <vt:lpstr>DCF</vt:lpstr>
      <vt:lpstr>Parameter設定</vt:lpstr>
      <vt:lpstr>財務数値</vt:lpstr>
      <vt:lpstr>WACC</vt:lpstr>
      <vt:lpstr>Multiple Cal</vt:lpstr>
      <vt:lpstr>Transaction Multiples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2011-03-09T04:55:14Z</dcterms:created>
  <dcterms:modified xsi:type="dcterms:W3CDTF">2025-09-20T02:45:14Z</dcterms:modified>
  <cp:category/>
</cp:coreProperties>
</file>